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codeName="EsteLibro"/>
  <mc:AlternateContent xmlns:mc="http://schemas.openxmlformats.org/markup-compatibility/2006">
    <mc:Choice Requires="x15">
      <x15ac:absPath xmlns:x15ac="http://schemas.microsoft.com/office/spreadsheetml/2010/11/ac" url="C:\Users\RALLYCAR\Desktop\2017\Rias Altas\Inscripciones\"/>
    </mc:Choice>
  </mc:AlternateContent>
  <workbookProtection workbookPassword="CA0D" lockStructure="1"/>
  <bookViews>
    <workbookView xWindow="-15" yWindow="165" windowWidth="16260" windowHeight="11580" tabRatio="756" xr2:uid="{00000000-000D-0000-FFFF-FFFF00000000}"/>
  </bookViews>
  <sheets>
    <sheet name=" Boletín de Inscripción " sheetId="1" r:id="rId1"/>
    <sheet name=" Derechos de Inscripción " sheetId="2" r:id="rId2"/>
    <sheet name=" Datos de Organizadores " sheetId="3" state="hidden" r:id="rId3"/>
    <sheet name="Exportacion" sheetId="5" state="hidden" r:id="rId4"/>
    <sheet name="Exp_Historicos" sheetId="6" state="hidden" r:id="rId5"/>
  </sheets>
  <definedNames>
    <definedName name="AAAA">' Datos de Organizadores '!#REF!</definedName>
    <definedName name="Año">' Datos de Organizadores '!$E$14</definedName>
    <definedName name="AñoBoletin">' Boletín de Inscripción '!$G$75</definedName>
    <definedName name="AÑOESPECIFICACIONES">' Datos de Organizadores '!$D$135</definedName>
    <definedName name="AñoHomologacion">' Boletín de Inscripción '!$G$75</definedName>
    <definedName name="APE1CONCURSANTE">' Datos de Organizadores '!$D$107</definedName>
    <definedName name="APE1COPILOTO">' Datos de Organizadores '!$D$123</definedName>
    <definedName name="APE1PILOTO">' Datos de Organizadores '!$D$116</definedName>
    <definedName name="APE2_CONCURSANTE">' Datos de Organizadores '!$D$108</definedName>
    <definedName name="APE2COPILOTO">' Datos de Organizadores '!$D$124</definedName>
    <definedName name="APE2PILOTO">' Datos de Organizadores '!$D$117</definedName>
    <definedName name="AprobacionCC">' Datos de Organizadores '!$C$28</definedName>
    <definedName name="_xlnm.Print_Area" localSheetId="0">' Boletín de Inscripción '!$C$13:$AG$156</definedName>
    <definedName name="Autonomico">' Datos de Organizadores '!$R$21</definedName>
    <definedName name="Auxiliar">' Datos de Organizadores '!$R$9</definedName>
    <definedName name="Blanco">' Datos de Organizadores '!$R$23</definedName>
    <definedName name="Campeonato">' Datos de Organizadores '!$R$4</definedName>
    <definedName name="Categoria">' Datos de Organizadores '!$C$22</definedName>
    <definedName name="CC">' Datos de Organizadores '!$F$80</definedName>
    <definedName name="CCAACONCURSANTE">' Datos de Organizadores '!$D$159</definedName>
    <definedName name="CCAACOPILOTO">' Datos de Organizadores '!$D$161</definedName>
    <definedName name="CCAAPILOTO">' Datos de Organizadores '!$D$160</definedName>
    <definedName name="Cilindrada">' Datos de Organizadores '!$E$16</definedName>
    <definedName name="CilindradaBoletin">' Boletín de Inscripción '!$L$72</definedName>
    <definedName name="Clasicos">' Datos de Organizadores '!$R$22</definedName>
    <definedName name="Concursante_Ape1">' Boletín de Inscripción '!$D$39</definedName>
    <definedName name="Concursante_Ape2">' Boletín de Inscripción '!$L$39</definedName>
    <definedName name="Concursante_CCAA">' Boletín de Inscripción '!$I$46</definedName>
    <definedName name="Concursante_Colectivo">' Boletín de Inscripción '!$D$42</definedName>
    <definedName name="Concursante_Copia">' Boletín de Inscripción '!$AE$46</definedName>
    <definedName name="Concursante_Licencia">' Boletín de Inscripción '!$AA$46</definedName>
    <definedName name="Concursante_NIF">' Boletín de Inscripción '!$V$46</definedName>
    <definedName name="Concursante_Nombre">' Boletín de Inscripción '!$V$39</definedName>
    <definedName name="Concursante_Pais">' Boletín de Inscripción '!$N$46</definedName>
    <definedName name="Concursante_Provincia">' Boletín de Inscripción '!$D$46</definedName>
    <definedName name="Concursante_Representante">' Boletín de Inscripción '!$Q$42</definedName>
    <definedName name="Concursante_Telefono">' Boletín de Inscripción '!$D$48</definedName>
    <definedName name="CONPUBLICIDAD">' Datos de Organizadores '!$E$110</definedName>
    <definedName name="COPIACONCURSANTE">' Datos de Organizadores '!$D$150</definedName>
    <definedName name="Copiloto_Ape1">' Boletín de Inscripción '!$D$58</definedName>
    <definedName name="Copiloto_Ape2">' Boletín de Inscripción '!$L$58</definedName>
    <definedName name="Copiloto_CCAA">' Boletín de Inscripción '!$I$62</definedName>
    <definedName name="Copiloto_Licencia">' Boletín de Inscripción '!$AA$62</definedName>
    <definedName name="Copiloto_NIF">' Boletín de Inscripción '!$V$62</definedName>
    <definedName name="Copiloto_Nombre">' Boletín de Inscripción '!$V$58</definedName>
    <definedName name="Copiloto_Pais">' Boletín de Inscripción '!$N$62</definedName>
    <definedName name="Copiloto_Provincia">' Boletín de Inscripción '!$D$62</definedName>
    <definedName name="Copiloto_Telefono">' Boletín de Inscripción '!$D$64</definedName>
    <definedName name="DENOMCONCURSANTE">' Datos de Organizadores '!$D$114</definedName>
    <definedName name="DniCifA1">' Boletín de Inscripción '!$C$127</definedName>
    <definedName name="DniCifA2">' Boletín de Inscripción '!$I$127</definedName>
    <definedName name="DniCifAux">' Boletín de Inscripción '!$C$136</definedName>
    <definedName name="DniCifO1">' Boletín de Inscripción '!$I$136</definedName>
    <definedName name="DniCifO2">' Boletín de Inscripción '!$P$136</definedName>
    <definedName name="DniCifR1">' Boletín de Inscripción '!$P$127</definedName>
    <definedName name="DniCifR2">' Boletín de Inscripción '!$Z$127</definedName>
    <definedName name="Efectivo">' Datos de Organizadores '!$R$25</definedName>
    <definedName name="email_competidor">' Boletín de Inscripción '!$V$48</definedName>
    <definedName name="email_copiloto">' Boletín de Inscripción '!$V$64</definedName>
    <definedName name="email_piloto">' Boletín de Inscripción '!$V$56</definedName>
    <definedName name="EsError">' Datos de Organizadores '!$C$26</definedName>
    <definedName name="España">' Datos de Organizadores '!$R$20</definedName>
    <definedName name="Estado5">' Datos de Organizadores '!$T$14</definedName>
    <definedName name="EstadoTrofeo3">' Datos de Organizadores '!$T$12</definedName>
    <definedName name="EstadoTrofeo7">' Datos de Organizadores '!$T$16</definedName>
    <definedName name="EstadoTrofeo8">' Datos de Organizadores '!$T$17</definedName>
    <definedName name="FICHAHOMOLOGACION">' Datos de Organizadores '!$D$136</definedName>
    <definedName name="FIJOCONCURSANTE">' Datos de Organizadores '!$D$113</definedName>
    <definedName name="FIJOCOPILOTO">' Datos de Organizadores '!$D$129</definedName>
    <definedName name="FIJOPILOTO">' Datos de Organizadores '!$D$122</definedName>
    <definedName name="HabilitarCC">' Datos de Organizadores '!$R$10</definedName>
    <definedName name="HHHH">' Datos de Organizadores '!$F$101</definedName>
    <definedName name="Historicos">' Datos de Organizadores '!#REF!</definedName>
    <definedName name="Indice_CCAA_Concursante">' Derechos de Inscripción '!$C$41</definedName>
    <definedName name="Indice_CCAA_Copiloto">' Derechos de Inscripción '!$E$41</definedName>
    <definedName name="Indice_CCAA_Piloto">' Derechos de Inscripción '!$D$41</definedName>
    <definedName name="Indice_Pais_Concursante">' Derechos de Inscripción '!$C$46</definedName>
    <definedName name="Indice_Pais_Copiloto">' Derechos de Inscripción '!$E$46</definedName>
    <definedName name="Indice_Pais_Piloto">' Derechos de Inscripción '!$D$46</definedName>
    <definedName name="Inicio">' Boletín de Inscripción '!$D$39</definedName>
    <definedName name="ISOCCAACONCURSANTE">' Boletín de Inscripción '!$AI$46</definedName>
    <definedName name="ISOCCAACOPILOTO">' Boletín de Inscripción '!$AI$62</definedName>
    <definedName name="ISOCCAAPILOTO">' Boletín de Inscripción '!$AI$54</definedName>
    <definedName name="ISOPAISCONCURSANTE">' Boletín de Inscripción '!$AI$45</definedName>
    <definedName name="ISOPAISCOPILOTO">' Boletín de Inscripción '!$AI$61</definedName>
    <definedName name="ISOPAISPILOTO">' Boletín de Inscripción '!$AI$53</definedName>
    <definedName name="IVA">' Datos de Organizadores '!$R$24</definedName>
    <definedName name="Legend">' Derechos de Inscripción '!$F$46</definedName>
    <definedName name="LICCONCURSANTE">' Datos de Organizadores '!$D$111</definedName>
    <definedName name="LICCOPILOTO">' Datos de Organizadores '!$D$127</definedName>
    <definedName name="LicenciaA1">' Boletín de Inscripción '!$C$129</definedName>
    <definedName name="LicenciaA2">' Boletín de Inscripción '!$I$129</definedName>
    <definedName name="LicenciaAux">' Boletín de Inscripción '!$C$138</definedName>
    <definedName name="LicenciaO1">' Boletín de Inscripción '!$I$138</definedName>
    <definedName name="LicenciaO2">' Boletín de Inscripción '!$P$138</definedName>
    <definedName name="LicenciaR1">' Boletín de Inscripción '!$P$129</definedName>
    <definedName name="LicenciaR2">' Boletín de Inscripción '!$Z$129</definedName>
    <definedName name="LICPILOTO">' Datos de Organizadores '!$D$120</definedName>
    <definedName name="MARCA">' Datos de Organizadores '!$D$130</definedName>
    <definedName name="MarcaOuvreur">' Boletín de Inscripción '!$Z$132</definedName>
    <definedName name="MATRICULA">' Datos de Organizadores '!$D$133</definedName>
    <definedName name="MatriculaOuvreur">' Boletín de Inscripción '!#REF!</definedName>
    <definedName name="MODELO">' Datos de Organizadores '!$D$131</definedName>
    <definedName name="ModeloOuvreur">' Boletín de Inscripción '!$Z$134</definedName>
    <definedName name="MOVILCONCURSANTE">' Datos de Organizadores '!$D$112</definedName>
    <definedName name="MOVILCOPILOTO">' Datos de Organizadores '!$D$128</definedName>
    <definedName name="MOVILPILOTO">' Datos de Organizadores '!$D$121</definedName>
    <definedName name="NIFCONCURSANTE">' Datos de Organizadores '!$D$110</definedName>
    <definedName name="NIFCOPILOTO">' Datos de Organizadores '!$D$126</definedName>
    <definedName name="NIFPILOTO">' Datos de Organizadores '!$D$119</definedName>
    <definedName name="NombreA1">' Boletín de Inscripción '!$C$123</definedName>
    <definedName name="NombreA2">' Boletín de Inscripción '!$I$123</definedName>
    <definedName name="NombreAux">' Boletín de Inscripción '!$C$132</definedName>
    <definedName name="NombreCampeonato">' Boletín de Inscripción '!$Q$69</definedName>
    <definedName name="NombreO1">' Boletín de Inscripción '!$I$132</definedName>
    <definedName name="NombreO2">' Boletín de Inscripción '!$P$132</definedName>
    <definedName name="NombreR1">' Boletín de Inscripción '!$P$123</definedName>
    <definedName name="NombreR2">' Boletín de Inscripción '!$Z$123</definedName>
    <definedName name="NOMCONCURSANTE">' Datos de Organizadores '!$D$109</definedName>
    <definedName name="NOMCOPILOTO">' Datos de Organizadores '!$D$125</definedName>
    <definedName name="NOMPILOTO">' Datos de Organizadores '!$D$118</definedName>
    <definedName name="NUEVOSOBLIGATORIOS">' Datos de Organizadores '!$D$149:$D$161</definedName>
    <definedName name="Num_cuenta">' Datos de Organizadores '!$R$8</definedName>
    <definedName name="NumeroEntrada">' Boletín de Inscripción '!$AA$26</definedName>
    <definedName name="numk">' Datos de Organizadores '!$L$13</definedName>
    <definedName name="Numrallye">' Datos de Organizadores '!$R$3</definedName>
    <definedName name="OBLIGATORIOS">' Datos de Organizadores '!$D$107:$D$139</definedName>
    <definedName name="Opcion">' Datos de Organizadores '!$U$5</definedName>
    <definedName name="Opcion2">' Datos de Organizadores '!$U$10</definedName>
    <definedName name="Opciones">' Boletín de Inscripción '!$B$10</definedName>
    <definedName name="OPCIONLEGEND">' Datos de Organizadores '!$C$29</definedName>
    <definedName name="Ouvreur">' Datos de Organizadores '!$R$7</definedName>
    <definedName name="PAISCONCURSANTE">' Datos de Organizadores '!$D$149</definedName>
    <definedName name="PAISCOPILOTO">' Datos de Organizadores '!$D$156</definedName>
    <definedName name="PAISPILOTO">' Datos de Organizadores '!$D$153</definedName>
    <definedName name="Panta100">' Datos de Organizadores '!#REF!</definedName>
    <definedName name="Panta102">' Datos de Organizadores '!#REF!</definedName>
    <definedName name="PantaDiesel">' Datos de Organizadores '!#REF!</definedName>
    <definedName name="PASAPORTE">' Datos de Organizadores '!$D$137</definedName>
    <definedName name="PENDIENTES">' Datos de Organizadores '!$D$140</definedName>
    <definedName name="Piloto_Ape1">' Boletín de Inscripción '!$D$50</definedName>
    <definedName name="Piloto_Ape2">' Boletín de Inscripción '!$L$50</definedName>
    <definedName name="Piloto_CCAA">' Boletín de Inscripción '!$I$54</definedName>
    <definedName name="Piloto_Licencia">' Boletín de Inscripción '!$AA$54</definedName>
    <definedName name="Piloto_NIF">' Boletín de Inscripción '!$V$54</definedName>
    <definedName name="Piloto_Nombre">' Boletín de Inscripción '!$V$50</definedName>
    <definedName name="Piloto_Pais">' Boletín de Inscripción '!$N$54</definedName>
    <definedName name="Piloto_Provincia">' Boletín de Inscripción '!$D$54</definedName>
    <definedName name="Piloto_Telefono">' Boletín de Inscripción '!$D$56</definedName>
    <definedName name="PlacaAuxiliar">' Datos de Organizadores '!#REF!</definedName>
    <definedName name="PrimerApellidoA1">' Boletín de Inscripción '!$C$125</definedName>
    <definedName name="PrimerApellidoA2">' Boletín de Inscripción '!$I$125</definedName>
    <definedName name="PrimerApellidoAux">' Boletín de Inscripción '!$C$134</definedName>
    <definedName name="PrimerApellidoO1">' Boletín de Inscripción '!$I$134</definedName>
    <definedName name="PrimerApellidoO2">' Boletín de Inscripción '!$P$134</definedName>
    <definedName name="PrimerApellidoR1">' Boletín de Inscripción '!$P$125</definedName>
    <definedName name="PrimerApellidoR2">' Boletín de Inscripción '!$Z$125</definedName>
    <definedName name="PROVINCIACONCURSANTE">' Datos de Organizadores '!$D$158</definedName>
    <definedName name="PROVINCIACOPILOTO">' Datos de Organizadores '!$D$155</definedName>
    <definedName name="PROVINCIAPILOTO">' Datos de Organizadores '!$D$152</definedName>
    <definedName name="Publicidad">' Datos de Organizadores '!$R$5</definedName>
    <definedName name="Regularidad">' Boletín de Inscripción '!$I$14</definedName>
    <definedName name="REPRESCONCURSANTE">' Datos de Organizadores '!$D$115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eleccion">' Datos de Organizadores '!$C$14</definedName>
    <definedName name="Shakedown">' Derechos de Inscripción '!$G$46</definedName>
    <definedName name="SINPUBLICIDAD">' Datos de Organizadores '!$E$111</definedName>
    <definedName name="Tabla_Agrupaciones">' Datos de Organizadores '!$A$13:$D$30</definedName>
    <definedName name="Tabla_Autonomias">' Datos de Organizadores '!$F$110:$H$129</definedName>
    <definedName name="TABLA_AUTONOMIAS_coPILOTO">' Datos de Organizadores '!$L$110:$N$129</definedName>
    <definedName name="TABLA_AUTONOMIAS_PILOTO">' Datos de Organizadores '!$I$110:$K$129</definedName>
    <definedName name="Tabla_datos">' Datos de Organizadores '!$A$5:$Q$11</definedName>
    <definedName name="Tabla_Paises">' Datos de Organizadores '!$F$133:$J$320</definedName>
    <definedName name="TablaCategorias">' Datos de Organizadores '!$A$100:$B$105</definedName>
    <definedName name="TablaCategoriasRegularidad">' Datos de Organizadores '!$A$64:$D$78</definedName>
    <definedName name="TablaRegularidad">' Datos de Organizadores '!$A$66:$C$79</definedName>
    <definedName name="TablaVelocidad">' Datos de Organizadores '!$A$33:$C$41</definedName>
    <definedName name="TipoVehiculo">' Boletín de Inscripción '!$Q$73</definedName>
    <definedName name="Trofeo1">' Datos de Organizadores '!$R$4</definedName>
    <definedName name="Trofeo10">' Datos de Organizadores '!$R$19</definedName>
    <definedName name="Trofeo11">' Datos de Organizadores '!$R$27</definedName>
    <definedName name="Trofeo12">' Datos de Organizadores '!$R$28</definedName>
    <definedName name="Trofeo13">' Datos de Organizadores '!$R$30</definedName>
    <definedName name="Trofeo14">' Datos de Organizadores '!#REF!</definedName>
    <definedName name="Trofeo2">' Datos de Organizadores '!$R$11</definedName>
    <definedName name="Trofeo3">' Datos de Organizadores '!$R$12</definedName>
    <definedName name="Trofeo4">' Datos de Organizadores '!$R$13</definedName>
    <definedName name="Trofeo5">' Datos de Organizadores '!$R$14</definedName>
    <definedName name="Trofeo6">' Datos de Organizadores '!$R$15</definedName>
    <definedName name="Trofeo7">' Datos de Organizadores '!$R$16</definedName>
    <definedName name="Trofeo8">' Datos de Organizadores '!$R$17</definedName>
    <definedName name="Trofeo9">' Datos de Organizadores '!$R$18</definedName>
    <definedName name="Turbo">' Datos de Organizadores '!$R$26</definedName>
    <definedName name="Turbo_correcto">' Datos de Organizadores '!$R$27</definedName>
    <definedName name="Validacion">' Boletín de Inscripción '!$I$13</definedName>
    <definedName name="Valpubli">' Datos de Organizadores '!$T$5</definedName>
    <definedName name="Vehiculo_Categoria">' Boletín de Inscripción '!$Q$77</definedName>
    <definedName name="Vehiculo_Cilindrada">' Boletín de Inscripción '!$L$72</definedName>
    <definedName name="Vehiculo_FichaHomo">' Boletín de Inscripción '!$C$78</definedName>
    <definedName name="Vehiculo_Marca">' Boletín de Inscripción '!$C$69</definedName>
    <definedName name="Vehiculo_Matricula">' Boletín de Inscripción '!$C$75</definedName>
    <definedName name="Vehiculo_Modelo">' Boletín de Inscripción '!$I$69</definedName>
    <definedName name="Vehiculo_Pasaporte">' Boletín de Inscripción '!$G$78</definedName>
    <definedName name="Vehiculo_Tipo">' Boletín de Inscripción '!$Q$73</definedName>
    <definedName name="Velocidad_Legend">Exportacion!$U$3</definedName>
  </definedNames>
  <calcPr calcId="171027"/>
  <fileRecoveryPr repairLoad="1"/>
</workbook>
</file>

<file path=xl/calcChain.xml><?xml version="1.0" encoding="utf-8"?>
<calcChain xmlns="http://schemas.openxmlformats.org/spreadsheetml/2006/main">
  <c r="AC94" i="1" l="1"/>
  <c r="M31" i="2"/>
  <c r="B137" i="3" l="1"/>
  <c r="M30" i="2" l="1"/>
  <c r="M29" i="2"/>
  <c r="R20" i="1" l="1"/>
  <c r="B136" i="3"/>
  <c r="D136" i="3" s="1"/>
  <c r="D137" i="3"/>
  <c r="B157" i="3"/>
  <c r="D157" i="3" s="1"/>
  <c r="B154" i="3"/>
  <c r="D154" i="3" s="1"/>
  <c r="B151" i="3"/>
  <c r="D151" i="3" s="1"/>
  <c r="AC97" i="1" l="1"/>
  <c r="B13" i="3" l="1"/>
  <c r="C15" i="3" s="1"/>
  <c r="Q73" i="1" s="1"/>
  <c r="B15" i="3"/>
  <c r="B16" i="3"/>
  <c r="B17" i="3"/>
  <c r="B18" i="3"/>
  <c r="B19" i="3"/>
  <c r="B20" i="3"/>
  <c r="B21" i="3"/>
  <c r="B22" i="3"/>
  <c r="B14" i="3"/>
  <c r="C142" i="3"/>
  <c r="Q69" i="1" s="1"/>
  <c r="B138" i="3" s="1"/>
  <c r="D138" i="3" s="1"/>
  <c r="C28" i="3"/>
  <c r="R27" i="3"/>
  <c r="L72" i="1" s="1"/>
  <c r="H36" i="2"/>
  <c r="R103" i="1" s="1"/>
  <c r="D21" i="2"/>
  <c r="C23" i="1" s="1"/>
  <c r="B18" i="2"/>
  <c r="U101" i="1" s="1"/>
  <c r="D24" i="2"/>
  <c r="F23" i="2"/>
  <c r="H25" i="2"/>
  <c r="C31" i="1" s="1"/>
  <c r="F25" i="2"/>
  <c r="D25" i="2"/>
  <c r="D23" i="2"/>
  <c r="D22" i="2"/>
  <c r="C25" i="1" s="1"/>
  <c r="B112" i="3"/>
  <c r="B125" i="3"/>
  <c r="D125" i="3" s="1"/>
  <c r="AC95" i="1"/>
  <c r="I14" i="1"/>
  <c r="AI45" i="1"/>
  <c r="N46" i="1"/>
  <c r="B149" i="3" s="1"/>
  <c r="D149" i="3" s="1"/>
  <c r="AI53" i="1"/>
  <c r="N54" i="1"/>
  <c r="B153" i="3" s="1"/>
  <c r="D153" i="3" s="1"/>
  <c r="AI61" i="1"/>
  <c r="N62" i="1"/>
  <c r="B156" i="3" s="1"/>
  <c r="D156" i="3" s="1"/>
  <c r="C87" i="1"/>
  <c r="Q87" i="1"/>
  <c r="R3" i="3"/>
  <c r="U5" i="3"/>
  <c r="T10" i="3"/>
  <c r="U10" i="3"/>
  <c r="T9" i="3"/>
  <c r="T4" i="3"/>
  <c r="T11" i="3"/>
  <c r="T12" i="3"/>
  <c r="T13" i="3"/>
  <c r="T14" i="3"/>
  <c r="T15" i="3"/>
  <c r="T16" i="3"/>
  <c r="T17" i="3"/>
  <c r="T18" i="3"/>
  <c r="T19" i="3"/>
  <c r="T20" i="3"/>
  <c r="R21" i="3"/>
  <c r="T21" i="3"/>
  <c r="T22" i="3"/>
  <c r="D21" i="3"/>
  <c r="D22" i="3"/>
  <c r="D23" i="3"/>
  <c r="D24" i="3"/>
  <c r="D25" i="3"/>
  <c r="D26" i="3"/>
  <c r="D27" i="3"/>
  <c r="B107" i="3"/>
  <c r="G110" i="3"/>
  <c r="H110" i="3"/>
  <c r="E114" i="3" s="1"/>
  <c r="J110" i="3"/>
  <c r="K110" i="3"/>
  <c r="M110" i="3"/>
  <c r="N110" i="3"/>
  <c r="I62" i="1"/>
  <c r="G4" i="5" s="1"/>
  <c r="B108" i="3"/>
  <c r="G111" i="3"/>
  <c r="H111" i="3"/>
  <c r="J111" i="3"/>
  <c r="K111" i="3"/>
  <c r="M111" i="3"/>
  <c r="AI62" i="1" s="1"/>
  <c r="N111" i="3"/>
  <c r="B109" i="3"/>
  <c r="G112" i="3"/>
  <c r="H112" i="3"/>
  <c r="J112" i="3"/>
  <c r="K112" i="3"/>
  <c r="M112" i="3"/>
  <c r="N112" i="3"/>
  <c r="B110" i="3"/>
  <c r="D110" i="3" s="1"/>
  <c r="G113" i="3"/>
  <c r="H113" i="3"/>
  <c r="J113" i="3"/>
  <c r="K113" i="3"/>
  <c r="M113" i="3"/>
  <c r="N113" i="3"/>
  <c r="B111" i="3"/>
  <c r="D111" i="3" s="1"/>
  <c r="G114" i="3"/>
  <c r="H114" i="3"/>
  <c r="J114" i="3"/>
  <c r="K114" i="3"/>
  <c r="M114" i="3"/>
  <c r="N114" i="3"/>
  <c r="G115" i="3"/>
  <c r="H115" i="3"/>
  <c r="J115" i="3"/>
  <c r="K115" i="3"/>
  <c r="M115" i="3"/>
  <c r="N115" i="3"/>
  <c r="B113" i="3"/>
  <c r="G116" i="3"/>
  <c r="H116" i="3"/>
  <c r="J116" i="3"/>
  <c r="K116" i="3"/>
  <c r="M116" i="3"/>
  <c r="N116" i="3"/>
  <c r="B114" i="3"/>
  <c r="G117" i="3"/>
  <c r="H117" i="3"/>
  <c r="J117" i="3"/>
  <c r="K117" i="3"/>
  <c r="M117" i="3"/>
  <c r="N117" i="3"/>
  <c r="B115" i="3"/>
  <c r="G118" i="3"/>
  <c r="H118" i="3"/>
  <c r="J118" i="3"/>
  <c r="K118" i="3"/>
  <c r="M118" i="3"/>
  <c r="N118" i="3"/>
  <c r="B116" i="3"/>
  <c r="D116" i="3" s="1"/>
  <c r="G119" i="3"/>
  <c r="H119" i="3"/>
  <c r="J119" i="3"/>
  <c r="K119" i="3"/>
  <c r="M119" i="3"/>
  <c r="N119" i="3"/>
  <c r="B117" i="3"/>
  <c r="D117" i="3" s="1"/>
  <c r="G120" i="3"/>
  <c r="H120" i="3"/>
  <c r="J120" i="3"/>
  <c r="K120" i="3"/>
  <c r="M120" i="3"/>
  <c r="N120" i="3"/>
  <c r="B118" i="3"/>
  <c r="D118" i="3" s="1"/>
  <c r="G121" i="3"/>
  <c r="H121" i="3"/>
  <c r="J121" i="3"/>
  <c r="K121" i="3"/>
  <c r="M121" i="3"/>
  <c r="N121" i="3"/>
  <c r="B119" i="3"/>
  <c r="D119" i="3" s="1"/>
  <c r="G122" i="3"/>
  <c r="H122" i="3"/>
  <c r="J122" i="3"/>
  <c r="K122" i="3"/>
  <c r="M122" i="3"/>
  <c r="N122" i="3"/>
  <c r="B120" i="3"/>
  <c r="D120" i="3" s="1"/>
  <c r="G123" i="3"/>
  <c r="H123" i="3"/>
  <c r="J123" i="3"/>
  <c r="K123" i="3"/>
  <c r="M123" i="3"/>
  <c r="N123" i="3"/>
  <c r="B121" i="3"/>
  <c r="G124" i="3"/>
  <c r="H124" i="3"/>
  <c r="J124" i="3"/>
  <c r="K124" i="3"/>
  <c r="M124" i="3"/>
  <c r="N124" i="3"/>
  <c r="B122" i="3"/>
  <c r="G125" i="3"/>
  <c r="H125" i="3"/>
  <c r="J125" i="3"/>
  <c r="K125" i="3"/>
  <c r="M125" i="3"/>
  <c r="N125" i="3"/>
  <c r="B123" i="3"/>
  <c r="D123" i="3" s="1"/>
  <c r="G126" i="3"/>
  <c r="H126" i="3"/>
  <c r="J126" i="3"/>
  <c r="K126" i="3"/>
  <c r="M126" i="3"/>
  <c r="N126" i="3"/>
  <c r="B124" i="3"/>
  <c r="D124" i="3" s="1"/>
  <c r="G127" i="3"/>
  <c r="H127" i="3"/>
  <c r="J127" i="3"/>
  <c r="K127" i="3"/>
  <c r="M127" i="3"/>
  <c r="N127" i="3"/>
  <c r="G128" i="3"/>
  <c r="H128" i="3"/>
  <c r="J128" i="3"/>
  <c r="K128" i="3"/>
  <c r="M128" i="3"/>
  <c r="N128" i="3"/>
  <c r="B126" i="3"/>
  <c r="D126" i="3" s="1"/>
  <c r="G129" i="3"/>
  <c r="H129" i="3"/>
  <c r="J129" i="3"/>
  <c r="K129" i="3"/>
  <c r="M129" i="3"/>
  <c r="N129" i="3"/>
  <c r="B127" i="3"/>
  <c r="D127" i="3" s="1"/>
  <c r="B128" i="3"/>
  <c r="B129" i="3"/>
  <c r="B130" i="3"/>
  <c r="D130" i="3" s="1"/>
  <c r="B131" i="3"/>
  <c r="D131" i="3" s="1"/>
  <c r="B132" i="3"/>
  <c r="D132" i="3" s="1"/>
  <c r="B133" i="3"/>
  <c r="D133" i="3" s="1"/>
  <c r="B134" i="3"/>
  <c r="D134" i="3" s="1"/>
  <c r="B135" i="3"/>
  <c r="D135" i="3" s="1"/>
  <c r="D28" i="3"/>
  <c r="B150" i="3"/>
  <c r="B152" i="3"/>
  <c r="D152" i="3" s="1"/>
  <c r="B155" i="3"/>
  <c r="D155" i="3" s="1"/>
  <c r="B158" i="3"/>
  <c r="D158" i="3" s="1"/>
  <c r="B3" i="5"/>
  <c r="D3" i="5"/>
  <c r="E3" i="5"/>
  <c r="F3" i="5"/>
  <c r="H3" i="5"/>
  <c r="I3" i="5"/>
  <c r="J3" i="5"/>
  <c r="K3" i="5"/>
  <c r="N3" i="5"/>
  <c r="O3" i="5"/>
  <c r="P3" i="5"/>
  <c r="U3" i="5"/>
  <c r="D4" i="5"/>
  <c r="F4" i="5"/>
  <c r="H4" i="5"/>
  <c r="I4" i="5"/>
  <c r="J4" i="5"/>
  <c r="H108" i="3"/>
  <c r="J106" i="3"/>
  <c r="D122" i="3" l="1"/>
  <c r="C27" i="1"/>
  <c r="AI54" i="1"/>
  <c r="AI46" i="1"/>
  <c r="I54" i="1"/>
  <c r="G3" i="5" s="1"/>
  <c r="D109" i="3"/>
  <c r="D121" i="3"/>
  <c r="D113" i="3"/>
  <c r="D108" i="3"/>
  <c r="I46" i="1"/>
  <c r="B159" i="3" s="1"/>
  <c r="D159" i="3" s="1"/>
  <c r="B161" i="3"/>
  <c r="D161" i="3" s="1"/>
  <c r="AC98" i="1"/>
  <c r="D112" i="3"/>
  <c r="D128" i="3"/>
  <c r="D107" i="3"/>
  <c r="C20" i="1"/>
  <c r="C149" i="1" s="1"/>
  <c r="C29" i="1"/>
  <c r="B160" i="3"/>
  <c r="D160" i="3" s="1"/>
  <c r="D129" i="3"/>
  <c r="K108" i="3"/>
  <c r="D150" i="3"/>
  <c r="D115" i="3"/>
  <c r="D114" i="3"/>
  <c r="M3" i="5"/>
  <c r="C24" i="3"/>
  <c r="Q3" i="5"/>
  <c r="B139" i="3"/>
  <c r="D139" i="3" s="1"/>
  <c r="C3" i="5" l="1"/>
  <c r="C151" i="1"/>
  <c r="C22" i="3"/>
  <c r="D30" i="3" s="1"/>
  <c r="L3" i="5" l="1"/>
  <c r="R3" i="5" s="1"/>
  <c r="C16" i="3"/>
  <c r="D29" i="3" s="1"/>
  <c r="D20" i="3" s="1"/>
  <c r="I13" i="1" l="1"/>
  <c r="D140" i="3"/>
  <c r="B9" i="1" s="1"/>
</calcChain>
</file>

<file path=xl/sharedStrings.xml><?xml version="1.0" encoding="utf-8"?>
<sst xmlns="http://schemas.openxmlformats.org/spreadsheetml/2006/main" count="1117" uniqueCount="920">
  <si>
    <t>DATOS PERSONALES</t>
  </si>
  <si>
    <t>INDIVIDUAL</t>
  </si>
  <si>
    <t>Nombre:</t>
  </si>
  <si>
    <t>COLECTIVO</t>
  </si>
  <si>
    <t>Representante: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</si>
  <si>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</si>
  <si>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</si>
  <si>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</si>
  <si>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</si>
  <si>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</si>
  <si>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</si>
  <si>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</si>
  <si>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</si>
  <si>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FAX:</t>
  </si>
  <si>
    <t>CONCURSANTE</t>
  </si>
  <si>
    <t>Denominación:</t>
  </si>
  <si>
    <t>PILOTO</t>
  </si>
  <si>
    <t>NIF:</t>
  </si>
  <si>
    <t>COPILOTO</t>
  </si>
  <si>
    <t>DATOS del VEHÍCULO</t>
  </si>
  <si>
    <t>Marca:</t>
  </si>
  <si>
    <t>Modelo:</t>
  </si>
  <si>
    <t>Matrícula:</t>
  </si>
  <si>
    <t>Cilindrada:</t>
  </si>
  <si>
    <t>DERECHOS de INSCRIPCIÓN</t>
  </si>
  <si>
    <t>Sin publicidad facultativa</t>
  </si>
  <si>
    <t>Con publicidad facultativa</t>
  </si>
  <si>
    <t>OTROS DERECHOS</t>
  </si>
  <si>
    <t>TOTAL DERECHOS</t>
  </si>
  <si>
    <t>PLACAS DE OUVREUR</t>
  </si>
  <si>
    <t>Concepto</t>
  </si>
  <si>
    <t>Importe</t>
  </si>
  <si>
    <t>IMPORTES DE LOS DERECHOS</t>
  </si>
  <si>
    <t>ASISTENCIA 1</t>
  </si>
  <si>
    <t>ASISTENCIA 2</t>
  </si>
  <si>
    <t>Conceptos</t>
  </si>
  <si>
    <t>Nº Entrada</t>
  </si>
  <si>
    <t>Fecha:</t>
  </si>
  <si>
    <t>Hora:</t>
  </si>
  <si>
    <t>Teléfono</t>
  </si>
  <si>
    <t>Fecha y hora de recepción</t>
  </si>
  <si>
    <t>Nombre de la prueba</t>
  </si>
  <si>
    <t>Localidad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</si>
  <si>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</si>
  <si>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</si>
  <si>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</si>
  <si>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</si>
  <si>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</si>
  <si>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</si>
  <si>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</si>
  <si>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</si>
  <si>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Cuenta de abono inscripciones</t>
  </si>
  <si>
    <t>ASTURIAS</t>
  </si>
  <si>
    <t>El Concursante</t>
  </si>
  <si>
    <t>El 1er. Conductor</t>
  </si>
  <si>
    <t>El Copiloto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</si>
  <si>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</si>
  <si>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</si>
  <si>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</si>
  <si>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</si>
  <si>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</si>
  <si>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Derechos de inscripción</t>
  </si>
  <si>
    <t>Con publicidad</t>
  </si>
  <si>
    <t>Sin publicidad</t>
  </si>
  <si>
    <t>Shakedown</t>
  </si>
  <si>
    <t>Ouvreur</t>
  </si>
  <si>
    <t>Auxiliar</t>
  </si>
  <si>
    <t>Numrallye</t>
  </si>
  <si>
    <t>Publicidad</t>
  </si>
  <si>
    <t>Trofeo2</t>
  </si>
  <si>
    <t>Trofeo3</t>
  </si>
  <si>
    <t>Trofeo4</t>
  </si>
  <si>
    <t>Trofeo6</t>
  </si>
  <si>
    <t>España</t>
  </si>
  <si>
    <t>Autonomico</t>
  </si>
  <si>
    <t>Clasicos</t>
  </si>
  <si>
    <t>Efectivo</t>
  </si>
  <si>
    <t>Club</t>
  </si>
  <si>
    <t>C. Postal</t>
  </si>
  <si>
    <t>PLACAS DE JEFE DE EQUIPO O VEHÍCULO AUXILIAR ASISTENCIA</t>
  </si>
  <si>
    <t>Organizador</t>
  </si>
  <si>
    <t>Derechos</t>
  </si>
  <si>
    <t>CUENTA PARA TRANSFERENCIA INSCRIPCIONES</t>
  </si>
  <si>
    <t>DATOS DE LOS DERECHOS DE INSCRIPCIÓN</t>
  </si>
  <si>
    <t xml:space="preserve">1 - </t>
  </si>
  <si>
    <t xml:space="preserve">2 - </t>
  </si>
  <si>
    <t xml:space="preserve">3 - </t>
  </si>
  <si>
    <t>Blanco</t>
  </si>
  <si>
    <t>Para rallyes posteriores repita los pasos 1 y 2 y modifique sólo aquellos datos personales o del vehículo que necesite</t>
  </si>
  <si>
    <t>1º Apellido</t>
  </si>
  <si>
    <t>2º Apellido</t>
  </si>
  <si>
    <t>Marca</t>
  </si>
  <si>
    <t>Modelo</t>
  </si>
  <si>
    <t>Matricula</t>
  </si>
  <si>
    <t>Cilindrada</t>
  </si>
  <si>
    <t>FichaHomologacion</t>
  </si>
  <si>
    <t>Placa de Auxiliar</t>
  </si>
  <si>
    <t>- Placa de Auxiliar</t>
  </si>
  <si>
    <t xml:space="preserve">  C. Postal:</t>
  </si>
  <si>
    <t xml:space="preserve">  Localidad:</t>
  </si>
  <si>
    <t xml:space="preserve">  Dirección:</t>
  </si>
  <si>
    <t xml:space="preserve">  Nombre:</t>
  </si>
  <si>
    <t xml:space="preserve">  NIF / CIF:</t>
  </si>
  <si>
    <t>IMPORTE de DERECHOS a PAGAR</t>
  </si>
  <si>
    <t>Trofeo7</t>
  </si>
  <si>
    <t>Trofeo8</t>
  </si>
  <si>
    <t>Trofeo9</t>
  </si>
  <si>
    <t>Trofeo10</t>
  </si>
  <si>
    <t>Trofeo5</t>
  </si>
  <si>
    <t>IVA</t>
  </si>
  <si>
    <t>Turbo</t>
  </si>
  <si>
    <t>Cilindrada corregida:</t>
  </si>
  <si>
    <t>Nº Rallye</t>
  </si>
  <si>
    <t xml:space="preserve">   FORMA DE PAGO</t>
  </si>
  <si>
    <t xml:space="preserve">   Datos para expedición de la factura de los derechos:</t>
  </si>
  <si>
    <t>En Efectivo</t>
  </si>
  <si>
    <t>Por Transferencia</t>
  </si>
  <si>
    <t xml:space="preserve">  Relación, si procede, de los equipos con los que desea compartir asistencia o que la ubicación sea contigua:</t>
  </si>
  <si>
    <t>Teléfono MOVIL:</t>
  </si>
  <si>
    <t>Teléfono FIJO:</t>
  </si>
  <si>
    <t xml:space="preserve">  Nombre y apellidos del Piloto:</t>
  </si>
  <si>
    <t xml:space="preserve">  Nombre y apellidos del Copiloto:</t>
  </si>
  <si>
    <t>INSCRIPCION AL SHAKEDONW</t>
  </si>
  <si>
    <t>Medidas:</t>
  </si>
  <si>
    <t>Vehículo ASISTENCIA 1</t>
  </si>
  <si>
    <t>Vehículo ASISTENCIA 2</t>
  </si>
  <si>
    <t>Grupo 1</t>
  </si>
  <si>
    <t>Grupo 2</t>
  </si>
  <si>
    <t>Grupo 3</t>
  </si>
  <si>
    <t>Grupo 4</t>
  </si>
  <si>
    <t>Grupo 5</t>
  </si>
  <si>
    <t>Grupo N</t>
  </si>
  <si>
    <t>Grupo A</t>
  </si>
  <si>
    <t>---</t>
  </si>
  <si>
    <t>- - -</t>
  </si>
  <si>
    <t>Apellidos:</t>
  </si>
  <si>
    <t>JEFE de EQUIPO o AUXILIAR</t>
  </si>
  <si>
    <t>Vehículo JEFE de EQUIPO o AUXILIAR</t>
  </si>
  <si>
    <t>ASISTENCIAS</t>
  </si>
  <si>
    <t>ESCUDERIA AVILESINA</t>
  </si>
  <si>
    <t>Avda. del Valle, 6-6º C</t>
  </si>
  <si>
    <t>33120</t>
  </si>
  <si>
    <t>08410</t>
  </si>
  <si>
    <t>PRAVIA</t>
  </si>
  <si>
    <t>AVILÉS</t>
  </si>
  <si>
    <t>BARCELONA</t>
  </si>
  <si>
    <t>651 834 610</t>
  </si>
  <si>
    <t>902 009 203</t>
  </si>
  <si>
    <t>985 520 090</t>
  </si>
  <si>
    <t>938 458 544</t>
  </si>
  <si>
    <t>escuderia@praviaautocompeticion.com</t>
  </si>
  <si>
    <t>SOLICITUD de INSCRIPCIÓN</t>
  </si>
  <si>
    <t>Categoria</t>
  </si>
  <si>
    <t>Pasaporte</t>
  </si>
  <si>
    <r>
      <t>NO SERAN ACEPTADAS las inscripciones a las que le falte alguno de los datos anteriores.</t>
    </r>
    <r>
      <rPr>
        <sz val="7"/>
        <color indexed="10"/>
        <rFont val="Arial"/>
        <family val="2"/>
      </rPr>
      <t xml:space="preserve">
</t>
    </r>
    <r>
      <rPr>
        <sz val="7"/>
        <rFont val="Arial"/>
        <family val="2"/>
      </rPr>
      <t>Es OBLIGATORIO adjuntar al Boletín la primera página de uno de los siguientes pasaportes (en caso de requerirse):
 Historic Technical Passport FIA (HTP), Pasaporte Técnico de Vehículo Clásico RFEdeA (PTVC), Historic Regularity Run Car Pass FIA (HRCP) o Pasaporte de Clásicos de Regularidad RFEdeA (PCR).</t>
    </r>
  </si>
  <si>
    <t>AprobacionCC</t>
  </si>
  <si>
    <t>AñoHomologacion</t>
  </si>
  <si>
    <t>AñoEspecificaciones</t>
  </si>
  <si>
    <t>Campeonato</t>
  </si>
  <si>
    <t>APE1CONCURSANTE</t>
  </si>
  <si>
    <t>APE2 CONCURSANTE</t>
  </si>
  <si>
    <t>LICCONCURSANTE</t>
  </si>
  <si>
    <t>DENOMCONCURSANTE</t>
  </si>
  <si>
    <t>REPRESCONCURSANTE</t>
  </si>
  <si>
    <t>APE2PILOTO</t>
  </si>
  <si>
    <t>APE1PILOTO</t>
  </si>
  <si>
    <t>NOMPILOTO</t>
  </si>
  <si>
    <t>NOMCONCURSANTE</t>
  </si>
  <si>
    <t>LICPILOTO</t>
  </si>
  <si>
    <t>APE1COPILOTO</t>
  </si>
  <si>
    <t>APE2COPILOTO</t>
  </si>
  <si>
    <t>NOMCOPILOTO</t>
  </si>
  <si>
    <t>LICCOPILOTO</t>
  </si>
  <si>
    <t>MARCA</t>
  </si>
  <si>
    <t>MODELO</t>
  </si>
  <si>
    <t>CILINDRADA</t>
  </si>
  <si>
    <t>MATRICULA</t>
  </si>
  <si>
    <t>AÑOHOMOLOGACION</t>
  </si>
  <si>
    <t>AÑOESPECIFICACIONES</t>
  </si>
  <si>
    <t>FICHAHOMOLOGACION</t>
  </si>
  <si>
    <t>PASAPORTE</t>
  </si>
  <si>
    <t>NIFCONCURSANTE</t>
  </si>
  <si>
    <t>NIFPILOTO</t>
  </si>
  <si>
    <t>NIFCOPILOTO</t>
  </si>
  <si>
    <t>MOVILCONCURSANTE</t>
  </si>
  <si>
    <t>MOVILPILOTO</t>
  </si>
  <si>
    <t>MOVILCOPILOTO</t>
  </si>
  <si>
    <t>FIJOCONCURSANTE</t>
  </si>
  <si>
    <t>FIJOPILOTO</t>
  </si>
  <si>
    <t>FIJOCOPILOTO</t>
  </si>
  <si>
    <t xml:space="preserve">4 - </t>
  </si>
  <si>
    <t>NOMBRECAMPEONATO</t>
  </si>
  <si>
    <t>TIPOVEHICULO</t>
  </si>
  <si>
    <t>PROVINCIACONCURSANTE</t>
  </si>
  <si>
    <t>PAISCONCURSANTE</t>
  </si>
  <si>
    <t>COPIACONCURSANTE</t>
  </si>
  <si>
    <t>PROVINCIAPILOTO</t>
  </si>
  <si>
    <t>PAISPILOTO</t>
  </si>
  <si>
    <t>PROVINCIACOPILOTO</t>
  </si>
  <si>
    <t>PAISCOPILOTO</t>
  </si>
  <si>
    <t>La Cámara, 49 Entlo</t>
  </si>
  <si>
    <t>33400</t>
  </si>
  <si>
    <t>VILANOVA DEL VALLES</t>
  </si>
  <si>
    <t>NAC./CCAA</t>
  </si>
  <si>
    <t>Nº LICENCIA</t>
  </si>
  <si>
    <t>TELEFONO</t>
  </si>
  <si>
    <t>LIC.</t>
  </si>
  <si>
    <t>DNI</t>
  </si>
  <si>
    <t>VEHICULO
(marca y modelo)</t>
  </si>
  <si>
    <t>MATRÍCULA</t>
  </si>
  <si>
    <t>Nº PASAPORTE FIA O RFEDA
(solo cat. 1, 2, 3 o 4)</t>
  </si>
  <si>
    <t>Nº FICHA HOM.
(solo cat. 1, 2, 3, 4, 5-J1 o 6)</t>
  </si>
  <si>
    <t>GRUPO A / N
(solo cat. 5-J1)</t>
  </si>
  <si>
    <t>APROBACIÓN CC
(solo cat. 5-J1, 6 o 7)</t>
  </si>
  <si>
    <t>COPIA</t>
  </si>
  <si>
    <t>Aprobación Grupo              Trabajo Históricos</t>
  </si>
  <si>
    <t>CATEGORÍA</t>
  </si>
  <si>
    <t>Comunidad Autónoma:</t>
  </si>
  <si>
    <t>CCAACONCURSANTE</t>
  </si>
  <si>
    <t>CCAAPILOTO</t>
  </si>
  <si>
    <t>CCAACOPILOTO</t>
  </si>
  <si>
    <t>Valencia</t>
  </si>
  <si>
    <t>Castilla-La Mancha</t>
  </si>
  <si>
    <t>AN</t>
  </si>
  <si>
    <t>Andalucía</t>
  </si>
  <si>
    <t>AR</t>
  </si>
  <si>
    <t>Aragón</t>
  </si>
  <si>
    <t>AS</t>
  </si>
  <si>
    <t>Asturias</t>
  </si>
  <si>
    <t>IB</t>
  </si>
  <si>
    <t>Baleares</t>
  </si>
  <si>
    <t>CN</t>
  </si>
  <si>
    <t>Canarias</t>
  </si>
  <si>
    <t>CB</t>
  </si>
  <si>
    <t>Cantabria</t>
  </si>
  <si>
    <t>CM</t>
  </si>
  <si>
    <t>CL</t>
  </si>
  <si>
    <t>Castilla-León</t>
  </si>
  <si>
    <t>CT</t>
  </si>
  <si>
    <t>Cataluña</t>
  </si>
  <si>
    <t>CE</t>
  </si>
  <si>
    <t>Ceuta</t>
  </si>
  <si>
    <t>EX</t>
  </si>
  <si>
    <t>Extremadura</t>
  </si>
  <si>
    <t>GA</t>
  </si>
  <si>
    <t>Galicia</t>
  </si>
  <si>
    <t>RI</t>
  </si>
  <si>
    <t>La Rioja</t>
  </si>
  <si>
    <t>MD</t>
  </si>
  <si>
    <t>Madrid</t>
  </si>
  <si>
    <t>ML</t>
  </si>
  <si>
    <t>Melilla</t>
  </si>
  <si>
    <t>MC</t>
  </si>
  <si>
    <t>Murcia</t>
  </si>
  <si>
    <t>NC</t>
  </si>
  <si>
    <t>Navarra</t>
  </si>
  <si>
    <t>PV</t>
  </si>
  <si>
    <t>País Vasco</t>
  </si>
  <si>
    <t>VC</t>
  </si>
  <si>
    <t>AF</t>
  </si>
  <si>
    <t xml:space="preserve">AFG </t>
  </si>
  <si>
    <t>AL</t>
  </si>
  <si>
    <t xml:space="preserve">ALB </t>
  </si>
  <si>
    <t>DE</t>
  </si>
  <si>
    <t xml:space="preserve">DEU </t>
  </si>
  <si>
    <t>AM</t>
  </si>
  <si>
    <t xml:space="preserve">ARM </t>
  </si>
  <si>
    <t>AW</t>
  </si>
  <si>
    <t xml:space="preserve">ABW </t>
  </si>
  <si>
    <t>BA</t>
  </si>
  <si>
    <t xml:space="preserve">BIH </t>
  </si>
  <si>
    <t>BF</t>
  </si>
  <si>
    <t xml:space="preserve">BFA </t>
  </si>
  <si>
    <t>AD</t>
  </si>
  <si>
    <t xml:space="preserve">AND </t>
  </si>
  <si>
    <t>AO</t>
  </si>
  <si>
    <t xml:space="preserve">AGO </t>
  </si>
  <si>
    <t>AI</t>
  </si>
  <si>
    <t xml:space="preserve">AIA </t>
  </si>
  <si>
    <t>AG</t>
  </si>
  <si>
    <t xml:space="preserve">ATG </t>
  </si>
  <si>
    <t xml:space="preserve">ANT </t>
  </si>
  <si>
    <t>SA</t>
  </si>
  <si>
    <t xml:space="preserve">SAU </t>
  </si>
  <si>
    <t>DZ</t>
  </si>
  <si>
    <t xml:space="preserve">DZA </t>
  </si>
  <si>
    <t xml:space="preserve">ARG </t>
  </si>
  <si>
    <t>AU</t>
  </si>
  <si>
    <t xml:space="preserve">AUS </t>
  </si>
  <si>
    <t>AT</t>
  </si>
  <si>
    <t xml:space="preserve">AUT </t>
  </si>
  <si>
    <t>AZ</t>
  </si>
  <si>
    <t xml:space="preserve">AZE </t>
  </si>
  <si>
    <t>BS</t>
  </si>
  <si>
    <t xml:space="preserve">BHS </t>
  </si>
  <si>
    <t>BH</t>
  </si>
  <si>
    <t xml:space="preserve">BHR </t>
  </si>
  <si>
    <t>BD</t>
  </si>
  <si>
    <t xml:space="preserve">BGD </t>
  </si>
  <si>
    <t>BB</t>
  </si>
  <si>
    <t xml:space="preserve">BRB </t>
  </si>
  <si>
    <t>BE</t>
  </si>
  <si>
    <t xml:space="preserve">BEL </t>
  </si>
  <si>
    <t>BZ</t>
  </si>
  <si>
    <t xml:space="preserve">BLZ </t>
  </si>
  <si>
    <t>BM</t>
  </si>
  <si>
    <t xml:space="preserve">BMU </t>
  </si>
  <si>
    <t>BY</t>
  </si>
  <si>
    <t xml:space="preserve">BLR </t>
  </si>
  <si>
    <t>MM</t>
  </si>
  <si>
    <t xml:space="preserve">MMR </t>
  </si>
  <si>
    <t>BO</t>
  </si>
  <si>
    <t xml:space="preserve">BOL </t>
  </si>
  <si>
    <t>BW</t>
  </si>
  <si>
    <t xml:space="preserve">BWA </t>
  </si>
  <si>
    <t>BR</t>
  </si>
  <si>
    <t xml:space="preserve">BRA </t>
  </si>
  <si>
    <t>BG</t>
  </si>
  <si>
    <t xml:space="preserve">BGR </t>
  </si>
  <si>
    <t>BI</t>
  </si>
  <si>
    <t xml:space="preserve">BDI </t>
  </si>
  <si>
    <t>BT</t>
  </si>
  <si>
    <t xml:space="preserve">BTN </t>
  </si>
  <si>
    <t>CV</t>
  </si>
  <si>
    <t xml:space="preserve">CPV </t>
  </si>
  <si>
    <t>KY</t>
  </si>
  <si>
    <t xml:space="preserve">CYM </t>
  </si>
  <si>
    <t>KH</t>
  </si>
  <si>
    <t xml:space="preserve">KHM </t>
  </si>
  <si>
    <t xml:space="preserve">CMR </t>
  </si>
  <si>
    <t>CA</t>
  </si>
  <si>
    <t xml:space="preserve">CAN </t>
  </si>
  <si>
    <t>VA</t>
  </si>
  <si>
    <t xml:space="preserve">VAT </t>
  </si>
  <si>
    <t>CO</t>
  </si>
  <si>
    <t xml:space="preserve">COL </t>
  </si>
  <si>
    <t>KM</t>
  </si>
  <si>
    <t xml:space="preserve">COM </t>
  </si>
  <si>
    <t>CG</t>
  </si>
  <si>
    <t xml:space="preserve">COG </t>
  </si>
  <si>
    <t>CK</t>
  </si>
  <si>
    <t xml:space="preserve">COK </t>
  </si>
  <si>
    <t>KP</t>
  </si>
  <si>
    <t xml:space="preserve">PRK </t>
  </si>
  <si>
    <t>KR</t>
  </si>
  <si>
    <t xml:space="preserve">KOR </t>
  </si>
  <si>
    <t>CI</t>
  </si>
  <si>
    <t xml:space="preserve">CIV </t>
  </si>
  <si>
    <t>CR</t>
  </si>
  <si>
    <t xml:space="preserve">CRI </t>
  </si>
  <si>
    <t>HR</t>
  </si>
  <si>
    <t xml:space="preserve">HRV </t>
  </si>
  <si>
    <t>CU</t>
  </si>
  <si>
    <t xml:space="preserve">CUB </t>
  </si>
  <si>
    <t xml:space="preserve">CHL </t>
  </si>
  <si>
    <t xml:space="preserve">CHN </t>
  </si>
  <si>
    <t>TW</t>
  </si>
  <si>
    <t xml:space="preserve">TWN </t>
  </si>
  <si>
    <t>CY</t>
  </si>
  <si>
    <t xml:space="preserve">CYP </t>
  </si>
  <si>
    <t>DK</t>
  </si>
  <si>
    <t xml:space="preserve">DNK </t>
  </si>
  <si>
    <t>DM</t>
  </si>
  <si>
    <t xml:space="preserve">DMA </t>
  </si>
  <si>
    <t>EC</t>
  </si>
  <si>
    <t xml:space="preserve">ECU </t>
  </si>
  <si>
    <t>EG</t>
  </si>
  <si>
    <t xml:space="preserve">EGY </t>
  </si>
  <si>
    <t>SV</t>
  </si>
  <si>
    <t xml:space="preserve">SLV </t>
  </si>
  <si>
    <t>ER</t>
  </si>
  <si>
    <t xml:space="preserve">ERI </t>
  </si>
  <si>
    <t>AE</t>
  </si>
  <si>
    <t xml:space="preserve">ARE </t>
  </si>
  <si>
    <t>ES</t>
  </si>
  <si>
    <t xml:space="preserve">ESP </t>
  </si>
  <si>
    <t>SK</t>
  </si>
  <si>
    <t xml:space="preserve">SVK </t>
  </si>
  <si>
    <t>SI</t>
  </si>
  <si>
    <t xml:space="preserve">SVN </t>
  </si>
  <si>
    <t>US</t>
  </si>
  <si>
    <t xml:space="preserve">USA </t>
  </si>
  <si>
    <t>EE</t>
  </si>
  <si>
    <t xml:space="preserve">EST </t>
  </si>
  <si>
    <t>ET</t>
  </si>
  <si>
    <t xml:space="preserve">ETH </t>
  </si>
  <si>
    <t>FO</t>
  </si>
  <si>
    <t xml:space="preserve">FRO </t>
  </si>
  <si>
    <t>PH</t>
  </si>
  <si>
    <t xml:space="preserve">PHL </t>
  </si>
  <si>
    <t>FI</t>
  </si>
  <si>
    <t xml:space="preserve">FIN </t>
  </si>
  <si>
    <t>FR</t>
  </si>
  <si>
    <t xml:space="preserve">FRA </t>
  </si>
  <si>
    <t xml:space="preserve">GAB </t>
  </si>
  <si>
    <t>GM</t>
  </si>
  <si>
    <t xml:space="preserve">GMB </t>
  </si>
  <si>
    <t>GE</t>
  </si>
  <si>
    <t xml:space="preserve">GEO </t>
  </si>
  <si>
    <t>GH</t>
  </si>
  <si>
    <t xml:space="preserve">GHA </t>
  </si>
  <si>
    <t>GI</t>
  </si>
  <si>
    <t xml:space="preserve">GIB </t>
  </si>
  <si>
    <t>GD</t>
  </si>
  <si>
    <t xml:space="preserve">GRD </t>
  </si>
  <si>
    <t>GR</t>
  </si>
  <si>
    <t xml:space="preserve">GRC </t>
  </si>
  <si>
    <t>GL</t>
  </si>
  <si>
    <t xml:space="preserve">GRL </t>
  </si>
  <si>
    <t>GT</t>
  </si>
  <si>
    <t xml:space="preserve">GTM </t>
  </si>
  <si>
    <t>GN</t>
  </si>
  <si>
    <t xml:space="preserve">GIN </t>
  </si>
  <si>
    <t>GQ</t>
  </si>
  <si>
    <t xml:space="preserve">GNQ </t>
  </si>
  <si>
    <t>GY</t>
  </si>
  <si>
    <t xml:space="preserve">GUY </t>
  </si>
  <si>
    <t>HT</t>
  </si>
  <si>
    <t xml:space="preserve">HTI </t>
  </si>
  <si>
    <t>HN</t>
  </si>
  <si>
    <t xml:space="preserve">HND </t>
  </si>
  <si>
    <t>HK</t>
  </si>
  <si>
    <t xml:space="preserve">HKG </t>
  </si>
  <si>
    <t>HU</t>
  </si>
  <si>
    <t xml:space="preserve">HUN </t>
  </si>
  <si>
    <t>IN</t>
  </si>
  <si>
    <t xml:space="preserve">IND </t>
  </si>
  <si>
    <t>ID</t>
  </si>
  <si>
    <t xml:space="preserve">IDN </t>
  </si>
  <si>
    <t>IQ</t>
  </si>
  <si>
    <t xml:space="preserve">IRQ </t>
  </si>
  <si>
    <t>IR</t>
  </si>
  <si>
    <t xml:space="preserve">IRN </t>
  </si>
  <si>
    <t>IE</t>
  </si>
  <si>
    <t xml:space="preserve">IRL </t>
  </si>
  <si>
    <t>IS</t>
  </si>
  <si>
    <t xml:space="preserve">ISL </t>
  </si>
  <si>
    <t>IL</t>
  </si>
  <si>
    <t xml:space="preserve">ISR </t>
  </si>
  <si>
    <t>IT</t>
  </si>
  <si>
    <t xml:space="preserve">ITA </t>
  </si>
  <si>
    <t>JM</t>
  </si>
  <si>
    <t xml:space="preserve">JAM </t>
  </si>
  <si>
    <t>JP</t>
  </si>
  <si>
    <t xml:space="preserve">JPN </t>
  </si>
  <si>
    <t>JO</t>
  </si>
  <si>
    <t xml:space="preserve">JOR </t>
  </si>
  <si>
    <t>KZ</t>
  </si>
  <si>
    <t xml:space="preserve">KAZ </t>
  </si>
  <si>
    <t>KE</t>
  </si>
  <si>
    <t xml:space="preserve">KEN </t>
  </si>
  <si>
    <t>KI</t>
  </si>
  <si>
    <t xml:space="preserve">KIR </t>
  </si>
  <si>
    <t>KW</t>
  </si>
  <si>
    <t xml:space="preserve">KWT </t>
  </si>
  <si>
    <t>LA</t>
  </si>
  <si>
    <t xml:space="preserve">LAO </t>
  </si>
  <si>
    <t>LV</t>
  </si>
  <si>
    <t xml:space="preserve">LVA </t>
  </si>
  <si>
    <t>LB</t>
  </si>
  <si>
    <t xml:space="preserve">LBN </t>
  </si>
  <si>
    <t>LR</t>
  </si>
  <si>
    <t xml:space="preserve">LBR </t>
  </si>
  <si>
    <t>LY</t>
  </si>
  <si>
    <t xml:space="preserve">LBY </t>
  </si>
  <si>
    <t>LI</t>
  </si>
  <si>
    <t xml:space="preserve">LIE </t>
  </si>
  <si>
    <t>LT</t>
  </si>
  <si>
    <t xml:space="preserve">LTU </t>
  </si>
  <si>
    <t>LU</t>
  </si>
  <si>
    <t xml:space="preserve">LUX </t>
  </si>
  <si>
    <t>MO</t>
  </si>
  <si>
    <t xml:space="preserve">MAC </t>
  </si>
  <si>
    <t>MK</t>
  </si>
  <si>
    <t xml:space="preserve">MKD </t>
  </si>
  <si>
    <t>MG</t>
  </si>
  <si>
    <t xml:space="preserve">MDG </t>
  </si>
  <si>
    <t>MY</t>
  </si>
  <si>
    <t xml:space="preserve">MYS </t>
  </si>
  <si>
    <t>MW</t>
  </si>
  <si>
    <t xml:space="preserve">MWI </t>
  </si>
  <si>
    <t>MV</t>
  </si>
  <si>
    <t xml:space="preserve">MDV </t>
  </si>
  <si>
    <t xml:space="preserve">MLI </t>
  </si>
  <si>
    <t>MT</t>
  </si>
  <si>
    <t xml:space="preserve">MLT </t>
  </si>
  <si>
    <t>MA</t>
  </si>
  <si>
    <t xml:space="preserve">MAR </t>
  </si>
  <si>
    <t>MQ</t>
  </si>
  <si>
    <t xml:space="preserve">MTQ </t>
  </si>
  <si>
    <t>MU</t>
  </si>
  <si>
    <t xml:space="preserve">MUS </t>
  </si>
  <si>
    <t>MR</t>
  </si>
  <si>
    <t xml:space="preserve">MRT </t>
  </si>
  <si>
    <t>MX</t>
  </si>
  <si>
    <t xml:space="preserve">MEX </t>
  </si>
  <si>
    <t xml:space="preserve">MDA </t>
  </si>
  <si>
    <t>MN</t>
  </si>
  <si>
    <t xml:space="preserve">MNG </t>
  </si>
  <si>
    <t xml:space="preserve">MCO </t>
  </si>
  <si>
    <t>MS</t>
  </si>
  <si>
    <t xml:space="preserve">MSR </t>
  </si>
  <si>
    <t>MZ</t>
  </si>
  <si>
    <t xml:space="preserve">MOZ </t>
  </si>
  <si>
    <t>NA</t>
  </si>
  <si>
    <t xml:space="preserve">NAM </t>
  </si>
  <si>
    <t>NP</t>
  </si>
  <si>
    <t xml:space="preserve">NPL </t>
  </si>
  <si>
    <t>NI</t>
  </si>
  <si>
    <t xml:space="preserve">NIC </t>
  </si>
  <si>
    <t>NE</t>
  </si>
  <si>
    <t xml:space="preserve">NER </t>
  </si>
  <si>
    <t>NG</t>
  </si>
  <si>
    <t xml:space="preserve">NGA </t>
  </si>
  <si>
    <t>NO</t>
  </si>
  <si>
    <t xml:space="preserve">NOR </t>
  </si>
  <si>
    <t>NZ</t>
  </si>
  <si>
    <t xml:space="preserve">NZL </t>
  </si>
  <si>
    <t>OM</t>
  </si>
  <si>
    <t xml:space="preserve">OMN </t>
  </si>
  <si>
    <t>NL</t>
  </si>
  <si>
    <t xml:space="preserve">NLD </t>
  </si>
  <si>
    <t>PK</t>
  </si>
  <si>
    <t xml:space="preserve">PAK </t>
  </si>
  <si>
    <t>PS</t>
  </si>
  <si>
    <t xml:space="preserve">PSE </t>
  </si>
  <si>
    <t>PA</t>
  </si>
  <si>
    <t xml:space="preserve">PAN </t>
  </si>
  <si>
    <t>PY</t>
  </si>
  <si>
    <t xml:space="preserve">PRY </t>
  </si>
  <si>
    <t>PE</t>
  </si>
  <si>
    <t xml:space="preserve">PER </t>
  </si>
  <si>
    <t>PL</t>
  </si>
  <si>
    <t xml:space="preserve">POL </t>
  </si>
  <si>
    <t>PT</t>
  </si>
  <si>
    <t xml:space="preserve">PRT </t>
  </si>
  <si>
    <t>PR</t>
  </si>
  <si>
    <t xml:space="preserve">PRI </t>
  </si>
  <si>
    <t>QA</t>
  </si>
  <si>
    <t xml:space="preserve">QAT </t>
  </si>
  <si>
    <t>GB</t>
  </si>
  <si>
    <t xml:space="preserve">GBR </t>
  </si>
  <si>
    <t>CF</t>
  </si>
  <si>
    <t xml:space="preserve">CAF </t>
  </si>
  <si>
    <t>CZ</t>
  </si>
  <si>
    <t xml:space="preserve">CZE </t>
  </si>
  <si>
    <t>DO</t>
  </si>
  <si>
    <t xml:space="preserve">DOM </t>
  </si>
  <si>
    <t>RE</t>
  </si>
  <si>
    <t xml:space="preserve">REU </t>
  </si>
  <si>
    <t>ZW</t>
  </si>
  <si>
    <t xml:space="preserve">ZWE </t>
  </si>
  <si>
    <t>RO</t>
  </si>
  <si>
    <t xml:space="preserve">ROU </t>
  </si>
  <si>
    <t>RW</t>
  </si>
  <si>
    <t xml:space="preserve">RWA </t>
  </si>
  <si>
    <t>RU</t>
  </si>
  <si>
    <t xml:space="preserve">RUS </t>
  </si>
  <si>
    <t>SB</t>
  </si>
  <si>
    <t xml:space="preserve">SLB </t>
  </si>
  <si>
    <t>EH</t>
  </si>
  <si>
    <t xml:space="preserve">ESH </t>
  </si>
  <si>
    <t>WS</t>
  </si>
  <si>
    <t xml:space="preserve">WSM </t>
  </si>
  <si>
    <t>SM</t>
  </si>
  <si>
    <t xml:space="preserve">SMR </t>
  </si>
  <si>
    <t>SN</t>
  </si>
  <si>
    <t xml:space="preserve">SEN </t>
  </si>
  <si>
    <t>SC</t>
  </si>
  <si>
    <t xml:space="preserve">SYC </t>
  </si>
  <si>
    <t>SL</t>
  </si>
  <si>
    <t xml:space="preserve">SLE </t>
  </si>
  <si>
    <t>SG</t>
  </si>
  <si>
    <t xml:space="preserve">SGP </t>
  </si>
  <si>
    <t>SY</t>
  </si>
  <si>
    <t xml:space="preserve">SYR </t>
  </si>
  <si>
    <t>SO</t>
  </si>
  <si>
    <t xml:space="preserve">SOM </t>
  </si>
  <si>
    <t>LK</t>
  </si>
  <si>
    <t xml:space="preserve">LKA </t>
  </si>
  <si>
    <t>ZA</t>
  </si>
  <si>
    <t xml:space="preserve">ZAF </t>
  </si>
  <si>
    <t>SD</t>
  </si>
  <si>
    <t xml:space="preserve">SDN </t>
  </si>
  <si>
    <t>SE</t>
  </si>
  <si>
    <t xml:space="preserve">SWE </t>
  </si>
  <si>
    <t>CH</t>
  </si>
  <si>
    <t xml:space="preserve">CHE </t>
  </si>
  <si>
    <t>TH</t>
  </si>
  <si>
    <t xml:space="preserve">THA </t>
  </si>
  <si>
    <t>TZ</t>
  </si>
  <si>
    <t xml:space="preserve">TZA </t>
  </si>
  <si>
    <t>TG</t>
  </si>
  <si>
    <t xml:space="preserve">TGO </t>
  </si>
  <si>
    <t>TT</t>
  </si>
  <si>
    <t xml:space="preserve">TTO </t>
  </si>
  <si>
    <t>TN</t>
  </si>
  <si>
    <t xml:space="preserve">TUN </t>
  </si>
  <si>
    <t>TR</t>
  </si>
  <si>
    <t xml:space="preserve">TUR </t>
  </si>
  <si>
    <t>UA</t>
  </si>
  <si>
    <t xml:space="preserve">UKR </t>
  </si>
  <si>
    <t>UG</t>
  </si>
  <si>
    <t xml:space="preserve">UGA </t>
  </si>
  <si>
    <t>UY</t>
  </si>
  <si>
    <t xml:space="preserve">URY </t>
  </si>
  <si>
    <t>UZ</t>
  </si>
  <si>
    <t xml:space="preserve">UZB </t>
  </si>
  <si>
    <t>VE</t>
  </si>
  <si>
    <t xml:space="preserve">VEN </t>
  </si>
  <si>
    <t>VN</t>
  </si>
  <si>
    <t xml:space="preserve">VNM </t>
  </si>
  <si>
    <t>FJ</t>
  </si>
  <si>
    <t xml:space="preserve">FJI </t>
  </si>
  <si>
    <t>YE</t>
  </si>
  <si>
    <t xml:space="preserve">YEM </t>
  </si>
  <si>
    <t>YU</t>
  </si>
  <si>
    <t xml:space="preserve">YUG </t>
  </si>
  <si>
    <t>CD</t>
  </si>
  <si>
    <t xml:space="preserve">COD </t>
  </si>
  <si>
    <t>ZM</t>
  </si>
  <si>
    <t xml:space="preserve">ZMB </t>
  </si>
  <si>
    <t>TABLA AUTONOMIAS CONCURSANTE</t>
  </si>
  <si>
    <t>TABLA AUTONOMIAS PILOTO</t>
  </si>
  <si>
    <t>TABLA AUTONOMIAS coPILOTO</t>
  </si>
  <si>
    <t/>
  </si>
  <si>
    <t>Afganistán</t>
  </si>
  <si>
    <t>Albania</t>
  </si>
  <si>
    <t>Alemania</t>
  </si>
  <si>
    <t>Armenia</t>
  </si>
  <si>
    <t>Aruba</t>
  </si>
  <si>
    <t>Bosnia Y Herzegovina</t>
  </si>
  <si>
    <t>Burkina Faso</t>
  </si>
  <si>
    <t>Andorra</t>
  </si>
  <si>
    <t>Angola</t>
  </si>
  <si>
    <t>Anguilla</t>
  </si>
  <si>
    <t>Antigua Y Barbuda</t>
  </si>
  <si>
    <t>Antillas Holandesas</t>
  </si>
  <si>
    <t>Arabia Saudita</t>
  </si>
  <si>
    <t>Argelia</t>
  </si>
  <si>
    <t>Argentina</t>
  </si>
  <si>
    <t>Australia</t>
  </si>
  <si>
    <t>Austria</t>
  </si>
  <si>
    <t>Azerbaiján</t>
  </si>
  <si>
    <t>Bahamas</t>
  </si>
  <si>
    <t>Bahrein</t>
  </si>
  <si>
    <t>Bangladesh</t>
  </si>
  <si>
    <t>Barbados</t>
  </si>
  <si>
    <t>Bélgica</t>
  </si>
  <si>
    <t>Belice</t>
  </si>
  <si>
    <t>Bermudas</t>
  </si>
  <si>
    <t>Belarús</t>
  </si>
  <si>
    <t>Myanmar</t>
  </si>
  <si>
    <t>Bolivia</t>
  </si>
  <si>
    <t>Botswana</t>
  </si>
  <si>
    <t>Brasil</t>
  </si>
  <si>
    <t>Bulgaria</t>
  </si>
  <si>
    <t>Burundi</t>
  </si>
  <si>
    <t>Bután</t>
  </si>
  <si>
    <t>Cabo Verde</t>
  </si>
  <si>
    <t>Caimán, Islas</t>
  </si>
  <si>
    <t>Camboya</t>
  </si>
  <si>
    <t>Camerún</t>
  </si>
  <si>
    <t>Canadá</t>
  </si>
  <si>
    <t>Santa Sede</t>
  </si>
  <si>
    <t>Colombia</t>
  </si>
  <si>
    <t>Comoras</t>
  </si>
  <si>
    <t>Congo</t>
  </si>
  <si>
    <t>Cook, Islas</t>
  </si>
  <si>
    <t>Corea Del Norte</t>
  </si>
  <si>
    <t>Corea  Del Sur</t>
  </si>
  <si>
    <t>Costa De Marfil</t>
  </si>
  <si>
    <t>Costa Rica</t>
  </si>
  <si>
    <t>Croacia</t>
  </si>
  <si>
    <t>Cuba</t>
  </si>
  <si>
    <t>Chile</t>
  </si>
  <si>
    <t>China</t>
  </si>
  <si>
    <t>Taiwán</t>
  </si>
  <si>
    <t>Chipre</t>
  </si>
  <si>
    <t>Dinamarca</t>
  </si>
  <si>
    <t>Dominica</t>
  </si>
  <si>
    <t>Ecuador</t>
  </si>
  <si>
    <t>Egipto</t>
  </si>
  <si>
    <t>El Salvador</t>
  </si>
  <si>
    <t>Eritrea</t>
  </si>
  <si>
    <t>Emiratos Árabes</t>
  </si>
  <si>
    <t>Eslovaquia</t>
  </si>
  <si>
    <t>Eslovenia</t>
  </si>
  <si>
    <t>Estados Unidos</t>
  </si>
  <si>
    <t>Estonia</t>
  </si>
  <si>
    <t>Etiopía</t>
  </si>
  <si>
    <t>Islas Feroe</t>
  </si>
  <si>
    <t>Filipinas</t>
  </si>
  <si>
    <t>Finlandia</t>
  </si>
  <si>
    <t>Francia</t>
  </si>
  <si>
    <t>Gabón</t>
  </si>
  <si>
    <t>Gambia</t>
  </si>
  <si>
    <t>Georgia</t>
  </si>
  <si>
    <t>Ghana</t>
  </si>
  <si>
    <t>Gibraltar</t>
  </si>
  <si>
    <t>Granada</t>
  </si>
  <si>
    <t>Grecia</t>
  </si>
  <si>
    <t>Groenlandia</t>
  </si>
  <si>
    <t>Guatemala</t>
  </si>
  <si>
    <t>Guinea</t>
  </si>
  <si>
    <t>Guinea Ecuatorial</t>
  </si>
  <si>
    <t>Guyana</t>
  </si>
  <si>
    <t>Haití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</si>
  <si>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</si>
  <si>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</si>
  <si>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</si>
  <si>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</si>
  <si>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</si>
  <si>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</si>
  <si>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</si>
  <si>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</si>
  <si>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Islandia</t>
  </si>
  <si>
    <t>Israel</t>
  </si>
  <si>
    <t>Italia</t>
  </si>
  <si>
    <t>Jamaica</t>
  </si>
  <si>
    <t>Japón</t>
  </si>
  <si>
    <t>Jordania</t>
  </si>
  <si>
    <t>Kazajistán</t>
  </si>
  <si>
    <t>Kenia</t>
  </si>
  <si>
    <t>Kiribati</t>
  </si>
  <si>
    <t>Kuwait</t>
  </si>
  <si>
    <t>Laos</t>
  </si>
  <si>
    <t>Letonia</t>
  </si>
  <si>
    <t>Líbano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</si>
  <si>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</si>
  <si>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</si>
  <si>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</si>
  <si>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</si>
  <si>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</si>
  <si>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</si>
  <si>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</si>
  <si>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</si>
  <si>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</si>
  <si>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Malawi</t>
  </si>
  <si>
    <t>Maldivas</t>
  </si>
  <si>
    <t>Malí</t>
  </si>
  <si>
    <t>Malta</t>
  </si>
  <si>
    <t>Marruecos</t>
  </si>
  <si>
    <t>Martinica</t>
  </si>
  <si>
    <t>Mauricio</t>
  </si>
  <si>
    <t>Mauritania</t>
  </si>
  <si>
    <t>México</t>
  </si>
  <si>
    <t>Moldavia</t>
  </si>
  <si>
    <t>Mongolia</t>
  </si>
  <si>
    <t>Mónaco</t>
  </si>
  <si>
    <t>Montserrat</t>
  </si>
  <si>
    <t>Mozambique</t>
  </si>
  <si>
    <t>Namibia</t>
  </si>
  <si>
    <t>Nepal</t>
  </si>
  <si>
    <t>Nicaragua</t>
  </si>
  <si>
    <t>Níger</t>
  </si>
  <si>
    <t>Nigeria</t>
  </si>
  <si>
    <t>Noruega</t>
  </si>
  <si>
    <t>Nueva Zelanda</t>
  </si>
  <si>
    <t>Omán</t>
  </si>
  <si>
    <t>Países Bajos</t>
  </si>
  <si>
    <t>Pakistán</t>
  </si>
  <si>
    <t>Palestina</t>
  </si>
  <si>
    <t>Panamá</t>
  </si>
  <si>
    <t>Paraguay</t>
  </si>
  <si>
    <t>Perú</t>
  </si>
  <si>
    <t>Polonia</t>
  </si>
  <si>
    <t>Portugal</t>
  </si>
  <si>
    <t>Puerto Rico</t>
  </si>
  <si>
    <t>Qatar</t>
  </si>
  <si>
    <t>Reino Unido</t>
  </si>
  <si>
    <t>Rep. Centroafricana</t>
  </si>
  <si>
    <t>Rep. Checa</t>
  </si>
  <si>
    <t>Rep. Dominicana</t>
  </si>
  <si>
    <t>Reunión</t>
  </si>
  <si>
    <t>Zimbabwe</t>
  </si>
  <si>
    <t>Rumania</t>
  </si>
  <si>
    <t>Ruanda</t>
  </si>
  <si>
    <t>Rusia</t>
  </si>
  <si>
    <t>Salomón, Islas</t>
  </si>
  <si>
    <t>Sahara Occidental</t>
  </si>
  <si>
    <t>Samoa</t>
  </si>
  <si>
    <t>San Marino</t>
  </si>
  <si>
    <t>Senegal</t>
  </si>
  <si>
    <t>Seychelles</t>
  </si>
  <si>
    <t>Sierra Leona</t>
  </si>
  <si>
    <t>Singapur</t>
  </si>
  <si>
    <t>Siria</t>
  </si>
  <si>
    <t>Somalia</t>
  </si>
  <si>
    <t>Sri Lanka</t>
  </si>
  <si>
    <t>Sudáfrica</t>
  </si>
  <si>
    <t>Sudán</t>
  </si>
  <si>
    <t>Suecia</t>
  </si>
  <si>
    <t>Suiza</t>
  </si>
  <si>
    <t>Tailandia</t>
  </si>
  <si>
    <t>Tanzania</t>
  </si>
  <si>
    <t>Togo</t>
  </si>
  <si>
    <t>Trinidad Y Tobago</t>
  </si>
  <si>
    <t>Tunicia</t>
  </si>
  <si>
    <t>Turquía</t>
  </si>
  <si>
    <t>Ucrania</t>
  </si>
  <si>
    <t>Uganda</t>
  </si>
  <si>
    <t>Uruguay</t>
  </si>
  <si>
    <t>Uzbekistán</t>
  </si>
  <si>
    <t>Venezuela</t>
  </si>
  <si>
    <t>Vietnam</t>
  </si>
  <si>
    <t>Fiji</t>
  </si>
  <si>
    <t>Yemen</t>
  </si>
  <si>
    <t>Yugoslavia</t>
  </si>
  <si>
    <t>Zambia</t>
  </si>
  <si>
    <t>No Declarados</t>
  </si>
  <si>
    <t>985 520 546</t>
  </si>
  <si>
    <t>rallye@rallyeaviles.es</t>
  </si>
  <si>
    <t>Actualice, si es necesario, los importes de los derechos de inscripción en la hoja "Derechos de Inscripción" (ver reglamento particular).</t>
  </si>
  <si>
    <r>
      <t xml:space="preserve">Los campos con fondo amarillo </t>
    </r>
    <r>
      <rPr>
        <b/>
        <sz val="8"/>
        <color indexed="10"/>
        <rFont val="Tahoma"/>
        <family val="2"/>
      </rPr>
      <t>SON OBLIGATORIOS</t>
    </r>
    <r>
      <rPr>
        <sz val="8"/>
        <rFont val="Tahoma"/>
        <family val="2"/>
      </rPr>
      <t>, no será aceptada la inscripción si falta alguno de dichos campos obligatorios.</t>
    </r>
  </si>
  <si>
    <t xml:space="preserve">Rellene el Boletín de Inscripción, guárdelo en su ordenador y envíelo al Organizador (por correo electrónico). </t>
  </si>
  <si>
    <t>VOLANTIA RACING CLUB</t>
  </si>
  <si>
    <t>ESCUDERIA PRAVIA AUTOCOMPETICIÓN</t>
  </si>
  <si>
    <t>AUTOMOVIL CLUB GIBRALFARO</t>
  </si>
  <si>
    <t>MÁLAGA</t>
  </si>
  <si>
    <r>
      <t xml:space="preserve">Campeonato de España de
</t>
    </r>
    <r>
      <rPr>
        <b/>
        <sz val="18"/>
        <rFont val="Tahoma"/>
        <family val="2"/>
      </rPr>
      <t>Rallyes para Vehículos Históricos</t>
    </r>
  </si>
  <si>
    <t>Guarde esta solicitud de inscripción una vez rellenada, pues la misma le servirá para cualquier rallye del Campeonato de España 2007 simplemente con seleccionar la prueba en cuestión y evitando el tener que rellenar nuevamente aquellos datos personales o del vehículo que no hayan sufrido modificaciones de una prueba a otra.</t>
  </si>
  <si>
    <t>FAX</t>
  </si>
  <si>
    <t>e-mail</t>
  </si>
  <si>
    <t>e-mail:</t>
  </si>
  <si>
    <t>Certamen (se rellena automáticamente)</t>
  </si>
  <si>
    <t>Tabla de certámenes convocados</t>
  </si>
  <si>
    <t>Modelo (según Ficha Homologación):</t>
  </si>
  <si>
    <t>Año homologación:</t>
  </si>
  <si>
    <t>Ficha Homologación:</t>
  </si>
  <si>
    <t>No conforme a especificaciones época</t>
  </si>
  <si>
    <t>HabilitarCC</t>
  </si>
  <si>
    <t>Turboalimentado:</t>
  </si>
  <si>
    <t>VEHICULO
(marca y modelo según FH)</t>
  </si>
  <si>
    <t>PERIODO FIA
(rellena RFEA)</t>
  </si>
  <si>
    <t>Nº PASAPORTE FIA O RFEDA
(solo Gr. 1, 2, 3, 4 o 5)</t>
  </si>
  <si>
    <t>Nº FICHA HOM.
(solo cat. 1, 2, 3, 4, 5 o 6)</t>
  </si>
  <si>
    <t>APROBACIÓN GTH
(solo Gr. B o cat. 7)</t>
  </si>
  <si>
    <t>ESPAÑA/</t>
  </si>
  <si>
    <t>Turbo_correcto</t>
  </si>
  <si>
    <t>Derechos de Inscripción (VELOCIDAD)</t>
  </si>
  <si>
    <t>Derechos de Inscripción (REGULARIDAD)</t>
  </si>
  <si>
    <t>ES13 0081 5400 91 0001052310</t>
  </si>
  <si>
    <t>C/ Ciudad de Melilla S/N Edf. Club Mun. de Hielo</t>
  </si>
  <si>
    <t>29631</t>
  </si>
  <si>
    <t>BENALMADENA</t>
  </si>
  <si>
    <t>664 290 407</t>
  </si>
  <si>
    <t>info@rallyegibralfaro.com</t>
  </si>
  <si>
    <t>ES42 3059 0024 83 2279275628</t>
  </si>
  <si>
    <t>info@volantia.es</t>
  </si>
  <si>
    <r>
      <t xml:space="preserve">CUENTA PARA TRANSFERENCIA INSCRIPCIONES </t>
    </r>
    <r>
      <rPr>
        <b/>
        <sz val="10"/>
        <color indexed="9"/>
        <rFont val="Arial"/>
        <family val="2"/>
      </rPr>
      <t>(comprobar que se ha seleccionado el organizador correcto)</t>
    </r>
  </si>
  <si>
    <t>Num_cuenta</t>
  </si>
  <si>
    <t xml:space="preserve">Nº cuenta </t>
  </si>
  <si>
    <t>924 371 901</t>
  </si>
  <si>
    <t>951 204 193</t>
  </si>
  <si>
    <t>625 503 565</t>
  </si>
  <si>
    <t>Manrique de Lara, 8, Planta baja, Puerta dcha.</t>
  </si>
  <si>
    <t>10450</t>
  </si>
  <si>
    <t>CÁCERES</t>
  </si>
  <si>
    <t>Seleccione el rallye en la lista desplegable.</t>
  </si>
  <si>
    <t>COMPETIDOR</t>
  </si>
  <si>
    <t>Vehículos admitidos en TROFEO CAT. 5</t>
  </si>
  <si>
    <t>Trofeo de España Cat. 5</t>
  </si>
  <si>
    <t>Campeonato o Trofeo al que opta</t>
  </si>
  <si>
    <t>CLUB RALLYCLASSICS</t>
  </si>
  <si>
    <t>&lt;-- Selección categoría</t>
  </si>
  <si>
    <t>Plaza Paisos Catalans, 49</t>
  </si>
  <si>
    <t>938 458 630</t>
  </si>
  <si>
    <t>rallyclassics@rallyclassics.org</t>
  </si>
  <si>
    <t>ES48 0182 9764 2302 0000 1717</t>
  </si>
  <si>
    <t>ES71 0075 0953 6706 0129 0392</t>
  </si>
  <si>
    <t>ES39 2100 1999 7202 0019 6450</t>
  </si>
  <si>
    <t>A CORUÑA</t>
  </si>
  <si>
    <t>676 857 909</t>
  </si>
  <si>
    <t>inscripciones@rallyeriasaltas.com</t>
  </si>
  <si>
    <t>Campeonato de España de Históricos Pre 81</t>
  </si>
  <si>
    <t>Campeonato de España de Históricos Pre 90</t>
  </si>
  <si>
    <t>Gr. 1, 2, 3 o 4 homologado entre 01.01.1970 y 31.12.1975</t>
  </si>
  <si>
    <t>Gr. 1, 2, 3 o 4 homologado entre 01.01.1976 y 31.12.1981</t>
  </si>
  <si>
    <t>Gr. 1, 2, 3 o 4 homologado hasta 31.12.1969</t>
  </si>
  <si>
    <t>Vehículos admitidos en CAMPEONATO DE HISTÓRICOS PRE 81</t>
  </si>
  <si>
    <t>Vehículos admitidos en CAMPEONATO DE HISTÓRICOS PRE 90</t>
  </si>
  <si>
    <t>Gr. A homologado entre 01.01.1982 y 31.12.1990</t>
  </si>
  <si>
    <t>Gr. N homologado entre 01.01.1982 y 31.12.1990</t>
  </si>
  <si>
    <t>Gr. B homologado entre 01.01.1982 y 31.12.1990</t>
  </si>
  <si>
    <t>Grupo B</t>
  </si>
  <si>
    <t>Clase Velocidad</t>
  </si>
  <si>
    <t>Clase Regularidad</t>
  </si>
  <si>
    <t>Pasaporte FIA/RFEdeA:</t>
  </si>
  <si>
    <t>65 Rally Costa Brava Histórico</t>
  </si>
  <si>
    <t>XXXII Rallye Gibralfaro Histórico</t>
  </si>
  <si>
    <t>IX Rallye de Asturias Histórico</t>
  </si>
  <si>
    <t>41 Rallye de Avilés Histórico</t>
  </si>
  <si>
    <t>V Rallye Extremadura Histórico</t>
  </si>
  <si>
    <t>III Rallye Rías Altas Histórico</t>
  </si>
  <si>
    <r>
      <t>Campeonato de España de Rallyes para Vehículos Históricos 2017</t>
    </r>
    <r>
      <rPr>
        <b/>
        <sz val="9"/>
        <rFont val="Tahoma"/>
        <family val="2"/>
      </rPr>
      <t xml:space="preserve">
</t>
    </r>
    <r>
      <rPr>
        <sz val="14"/>
        <rFont val="Tahoma"/>
        <family val="2"/>
      </rPr>
      <t>Velocidad / Regularidad</t>
    </r>
  </si>
  <si>
    <t>- Derechos de Inscripción (IVA incluido)</t>
  </si>
  <si>
    <t>Gr. 5</t>
  </si>
  <si>
    <t>Gr. 1 homologado hasta el 31.12.1981</t>
  </si>
  <si>
    <t>Gr. 2 homologado hasta el 31.12.1981</t>
  </si>
  <si>
    <t>Gr. 3 homologado hasta el 31.12.1981</t>
  </si>
  <si>
    <t>Gr. 4 homologado hasta el 31.12.1981</t>
  </si>
  <si>
    <t>Trofeo de España Youngtimers</t>
  </si>
  <si>
    <t>Campeonato de España de Regularidad Sport (Pre81 y Pre90)</t>
  </si>
  <si>
    <t>Campeonato de España de Regularidad (Pre81 y Pre90)</t>
  </si>
  <si>
    <t>Vehículos admitidos en CAMPEONATO RS (PRE81 y PRE90)</t>
  </si>
  <si>
    <t>Vehículos admitidos en TROFEO YOUNGTIMERS</t>
  </si>
  <si>
    <t>Grupo</t>
  </si>
  <si>
    <t>Gr. A/N homologados entre el 01.01.1991 y el 31.12.2000</t>
  </si>
  <si>
    <t>Vehículos admitidos en CAMPEONATO REGULARIDAD</t>
  </si>
  <si>
    <t>EMAILCOMPETIDOR</t>
  </si>
  <si>
    <t>EMAILPILOTO</t>
  </si>
  <si>
    <t>EMAILCOPILOTO</t>
  </si>
  <si>
    <t>JARANDILLA DE LA VERA</t>
  </si>
  <si>
    <t>Derechos de Inscripción (REGULARIDAD SPORT)</t>
  </si>
  <si>
    <t>CLUB RALLYE RIAS ALTAS</t>
  </si>
  <si>
    <t>C/ Parroquia de Guísamo, Parcela A2, Nave 7</t>
  </si>
  <si>
    <t>15165</t>
  </si>
  <si>
    <t>BERGONDO</t>
  </si>
  <si>
    <t>ES43 0182 4655 7702 0158 5742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</si>
</sst>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 \ @"/>
    <numFmt numFmtId="165" formatCode="\ @"/>
    <numFmt numFmtId="166" formatCode="#,##0.00\ &quot;€&quot;"/>
    <numFmt numFmtId="167" formatCode="#,##0.00\ \€\ "/>
    <numFmt numFmtId="168" formatCode="#,##0.00\ "/>
    <numFmt numFmtId="169" formatCode="#,##0.00\ \c\c"/>
  </numFmts>
  <fonts count="64" x14ac:knownFonts="1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i/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sz val="10"/>
      <name val="Arial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8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Tahoma"/>
      <family val="2"/>
    </font>
    <font>
      <sz val="7"/>
      <color indexed="10"/>
      <name val="Tahoma"/>
      <family val="2"/>
    </font>
    <font>
      <b/>
      <sz val="10"/>
      <color indexed="9"/>
      <name val="Tahoma"/>
      <family val="2"/>
    </font>
    <font>
      <sz val="9"/>
      <color indexed="10"/>
      <name val="Tahoma"/>
      <family val="2"/>
    </font>
    <font>
      <b/>
      <sz val="7"/>
      <name val="Tahoma"/>
      <family val="2"/>
    </font>
    <font>
      <b/>
      <sz val="11"/>
      <color indexed="10"/>
      <name val="Tahoma"/>
      <family val="2"/>
    </font>
    <font>
      <b/>
      <sz val="8.5"/>
      <name val="Arial"/>
      <family val="2"/>
    </font>
    <font>
      <sz val="8.5"/>
      <name val="Arial"/>
      <family val="2"/>
    </font>
    <font>
      <b/>
      <sz val="8.5"/>
      <color indexed="12"/>
      <name val="Arial"/>
      <family val="2"/>
    </font>
    <font>
      <b/>
      <sz val="16"/>
      <name val="Tahoma"/>
      <family val="2"/>
    </font>
    <font>
      <sz val="14"/>
      <name val="Tahoma"/>
      <family val="2"/>
    </font>
    <font>
      <sz val="8"/>
      <color indexed="10"/>
      <name val="Tahoma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0"/>
      <color indexed="63"/>
      <name val="Calibri"/>
      <family val="2"/>
    </font>
    <font>
      <b/>
      <sz val="14"/>
      <color indexed="12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.5"/>
      <color indexed="12"/>
      <name val="Tahoma"/>
      <family val="2"/>
    </font>
    <font>
      <u/>
      <sz val="9"/>
      <color indexed="10"/>
      <name val="Arial"/>
      <family val="2"/>
    </font>
    <font>
      <u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rgb="FF1F497D"/>
      <name val="Calibri"/>
      <family val="2"/>
    </font>
    <font>
      <b/>
      <sz val="8"/>
      <color rgb="FFFF0000"/>
      <name val="Tahoma"/>
      <family val="2"/>
    </font>
    <font>
      <b/>
      <sz val="11"/>
      <color rgb="FFFF0000"/>
      <name val="Arial"/>
      <family val="2"/>
    </font>
    <font>
      <sz val="8"/>
      <color rgb="FF000000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mediumGray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1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64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164" fontId="3" fillId="0" borderId="5" xfId="0" applyNumberFormat="1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vertical="center"/>
      <protection hidden="1"/>
    </xf>
    <xf numFmtId="164" fontId="3" fillId="0" borderId="11" xfId="0" applyNumberFormat="1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164" fontId="3" fillId="0" borderId="13" xfId="0" applyNumberFormat="1" applyFont="1" applyBorder="1" applyAlignment="1" applyProtection="1">
      <alignment vertical="center"/>
      <protection hidden="1"/>
    </xf>
    <xf numFmtId="165" fontId="1" fillId="0" borderId="11" xfId="0" applyNumberFormat="1" applyFont="1" applyBorder="1" applyAlignment="1" applyProtection="1">
      <alignment vertical="center"/>
      <protection hidden="1"/>
    </xf>
    <xf numFmtId="165" fontId="1" fillId="0" borderId="14" xfId="0" applyNumberFormat="1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164" fontId="3" fillId="0" borderId="15" xfId="0" applyNumberFormat="1" applyFont="1" applyBorder="1" applyAlignment="1" applyProtection="1">
      <alignment vertical="center"/>
      <protection hidden="1"/>
    </xf>
    <xf numFmtId="164" fontId="3" fillId="0" borderId="16" xfId="0" applyNumberFormat="1" applyFont="1" applyBorder="1" applyAlignment="1" applyProtection="1">
      <alignment vertical="center"/>
      <protection hidden="1"/>
    </xf>
    <xf numFmtId="164" fontId="3" fillId="0" borderId="7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quotePrefix="1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164" fontId="3" fillId="0" borderId="5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164" fontId="3" fillId="0" borderId="0" xfId="0" applyNumberFormat="1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164" fontId="3" fillId="0" borderId="13" xfId="0" applyNumberFormat="1" applyFont="1" applyFill="1" applyBorder="1" applyAlignment="1" applyProtection="1">
      <alignment vertical="center"/>
      <protection hidden="1"/>
    </xf>
    <xf numFmtId="165" fontId="1" fillId="0" borderId="11" xfId="0" applyNumberFormat="1" applyFont="1" applyFill="1" applyBorder="1" applyAlignment="1" applyProtection="1">
      <alignment vertical="center"/>
      <protection hidden="1"/>
    </xf>
    <xf numFmtId="165" fontId="1" fillId="0" borderId="14" xfId="0" applyNumberFormat="1" applyFont="1" applyFill="1" applyBorder="1" applyAlignment="1" applyProtection="1">
      <alignment vertical="center"/>
      <protection hidden="1"/>
    </xf>
    <xf numFmtId="164" fontId="3" fillId="0" borderId="15" xfId="0" applyNumberFormat="1" applyFont="1" applyFill="1" applyBorder="1" applyAlignment="1" applyProtection="1">
      <alignment vertical="center"/>
      <protection hidden="1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7" fillId="3" borderId="5" xfId="0" applyFont="1" applyFill="1" applyBorder="1" applyAlignment="1" applyProtection="1">
      <alignment vertical="center"/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0" fontId="1" fillId="3" borderId="21" xfId="0" applyFont="1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5" fillId="4" borderId="0" xfId="0" applyFont="1" applyFill="1" applyAlignment="1" applyProtection="1">
      <alignment vertical="center"/>
    </xf>
    <xf numFmtId="0" fontId="1" fillId="0" borderId="22" xfId="0" applyFont="1" applyBorder="1" applyAlignment="1" applyProtection="1">
      <alignment vertical="center"/>
      <protection hidden="1"/>
    </xf>
    <xf numFmtId="0" fontId="1" fillId="3" borderId="23" xfId="0" applyFont="1" applyFill="1" applyBorder="1" applyAlignment="1" applyProtection="1">
      <alignment vertical="center"/>
      <protection hidden="1"/>
    </xf>
    <xf numFmtId="168" fontId="5" fillId="0" borderId="2" xfId="0" applyNumberFormat="1" applyFont="1" applyBorder="1" applyAlignment="1" applyProtection="1">
      <alignment horizontal="center" vertical="center"/>
      <protection locked="0"/>
    </xf>
    <xf numFmtId="168" fontId="5" fillId="0" borderId="3" xfId="0" applyNumberFormat="1" applyFont="1" applyBorder="1" applyAlignment="1" applyProtection="1">
      <alignment horizontal="center" vertical="center"/>
      <protection locked="0"/>
    </xf>
    <xf numFmtId="168" fontId="5" fillId="0" borderId="4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3" borderId="18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7" fillId="4" borderId="0" xfId="0" applyFont="1" applyFill="1" applyBorder="1" applyProtection="1"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NumberFormat="1" applyFont="1" applyFill="1" applyBorder="1" applyAlignment="1" applyProtection="1">
      <alignment horizontal="center" vertical="center"/>
    </xf>
    <xf numFmtId="165" fontId="30" fillId="4" borderId="1" xfId="0" applyNumberFormat="1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1" fillId="5" borderId="0" xfId="0" applyFont="1" applyFill="1" applyBorder="1" applyAlignment="1" applyProtection="1">
      <alignment vertical="center"/>
    </xf>
    <xf numFmtId="164" fontId="3" fillId="0" borderId="24" xfId="0" applyNumberFormat="1" applyFont="1" applyBorder="1" applyAlignment="1" applyProtection="1">
      <alignment vertical="center"/>
      <protection hidden="1"/>
    </xf>
    <xf numFmtId="0" fontId="7" fillId="3" borderId="25" xfId="0" applyFont="1" applyFill="1" applyBorder="1" applyAlignment="1" applyProtection="1">
      <alignment vertical="center"/>
      <protection locked="0" hidden="1"/>
    </xf>
    <xf numFmtId="0" fontId="5" fillId="0" borderId="10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4" fillId="0" borderId="16" xfId="0" applyNumberFormat="1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vertical="center"/>
      <protection hidden="1"/>
    </xf>
    <xf numFmtId="0" fontId="1" fillId="0" borderId="27" xfId="0" applyFont="1" applyFill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vertical="center"/>
      <protection hidden="1"/>
    </xf>
    <xf numFmtId="164" fontId="4" fillId="0" borderId="5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164" fontId="13" fillId="0" borderId="17" xfId="0" applyNumberFormat="1" applyFont="1" applyBorder="1" applyAlignment="1" applyProtection="1">
      <alignment horizontal="left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hidden="1"/>
    </xf>
    <xf numFmtId="164" fontId="13" fillId="0" borderId="6" xfId="0" applyNumberFormat="1" applyFont="1" applyBorder="1" applyAlignment="1" applyProtection="1">
      <alignment horizontal="left" vertical="center"/>
      <protection hidden="1"/>
    </xf>
    <xf numFmtId="164" fontId="13" fillId="0" borderId="5" xfId="0" applyNumberFormat="1" applyFont="1" applyBorder="1" applyAlignment="1" applyProtection="1">
      <alignment horizontal="left" vertical="center"/>
      <protection hidden="1"/>
    </xf>
    <xf numFmtId="0" fontId="6" fillId="0" borderId="29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38" fillId="0" borderId="11" xfId="0" applyFont="1" applyBorder="1" applyAlignment="1" applyProtection="1">
      <alignment vertical="center" wrapText="1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3" fillId="3" borderId="31" xfId="0" applyFont="1" applyFill="1" applyBorder="1" applyAlignment="1" applyProtection="1">
      <alignment vertical="center"/>
      <protection hidden="1"/>
    </xf>
    <xf numFmtId="0" fontId="32" fillId="3" borderId="31" xfId="0" applyFont="1" applyFill="1" applyBorder="1" applyAlignment="1" applyProtection="1">
      <alignment horizontal="right" vertical="center"/>
      <protection hidden="1"/>
    </xf>
    <xf numFmtId="0" fontId="32" fillId="3" borderId="31" xfId="0" applyFont="1" applyFill="1" applyBorder="1" applyAlignment="1" applyProtection="1">
      <alignment vertical="center"/>
      <protection hidden="1"/>
    </xf>
    <xf numFmtId="0" fontId="31" fillId="3" borderId="31" xfId="0" applyFont="1" applyFill="1" applyBorder="1" applyAlignment="1" applyProtection="1">
      <alignment vertical="center"/>
      <protection hidden="1"/>
    </xf>
    <xf numFmtId="0" fontId="1" fillId="3" borderId="31" xfId="0" applyFont="1" applyFill="1" applyBorder="1" applyAlignment="1" applyProtection="1">
      <alignment vertical="center"/>
      <protection hidden="1"/>
    </xf>
    <xf numFmtId="164" fontId="13" fillId="0" borderId="18" xfId="0" applyNumberFormat="1" applyFont="1" applyBorder="1" applyAlignment="1" applyProtection="1">
      <alignment vertical="top"/>
      <protection hidden="1"/>
    </xf>
    <xf numFmtId="0" fontId="23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horizontal="right"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5" fillId="6" borderId="16" xfId="0" applyFont="1" applyFill="1" applyBorder="1" applyAlignment="1" applyProtection="1">
      <alignment vertical="center"/>
      <protection hidden="1"/>
    </xf>
    <xf numFmtId="0" fontId="5" fillId="6" borderId="7" xfId="0" applyFont="1" applyFill="1" applyBorder="1" applyAlignment="1" applyProtection="1">
      <alignment horizontal="right" vertical="center"/>
      <protection hidden="1"/>
    </xf>
    <xf numFmtId="0" fontId="5" fillId="6" borderId="7" xfId="0" applyFont="1" applyFill="1" applyBorder="1" applyAlignment="1" applyProtection="1">
      <alignment vertical="center"/>
      <protection hidden="1"/>
    </xf>
    <xf numFmtId="0" fontId="5" fillId="6" borderId="9" xfId="0" applyFont="1" applyFill="1" applyBorder="1" applyAlignment="1" applyProtection="1">
      <alignment vertical="center"/>
      <protection hidden="1"/>
    </xf>
    <xf numFmtId="0" fontId="5" fillId="6" borderId="5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horizontal="right" vertical="center"/>
      <protection hidden="1"/>
    </xf>
    <xf numFmtId="0" fontId="5" fillId="6" borderId="0" xfId="0" applyFont="1" applyFill="1" applyBorder="1" applyAlignment="1" applyProtection="1">
      <alignment vertical="center"/>
      <protection hidden="1"/>
    </xf>
    <xf numFmtId="0" fontId="5" fillId="6" borderId="6" xfId="0" applyFont="1" applyFill="1" applyBorder="1" applyAlignment="1" applyProtection="1">
      <alignment vertical="center"/>
      <protection hidden="1"/>
    </xf>
    <xf numFmtId="0" fontId="40" fillId="5" borderId="0" xfId="0" applyFont="1" applyFill="1" applyAlignment="1" applyProtection="1">
      <alignment vertical="center"/>
      <protection hidden="1"/>
    </xf>
    <xf numFmtId="0" fontId="40" fillId="3" borderId="0" xfId="0" applyFont="1" applyFill="1" applyAlignment="1" applyProtection="1">
      <alignment vertical="center"/>
      <protection hidden="1"/>
    </xf>
    <xf numFmtId="0" fontId="42" fillId="0" borderId="0" xfId="0" applyFont="1" applyAlignment="1">
      <alignment horizontal="center" vertical="center"/>
    </xf>
    <xf numFmtId="0" fontId="1" fillId="3" borderId="11" xfId="0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25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vertical="center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164" fontId="3" fillId="0" borderId="11" xfId="0" applyNumberFormat="1" applyFont="1" applyBorder="1" applyAlignment="1" applyProtection="1">
      <alignment horizontal="left" vertical="center"/>
      <protection hidden="1"/>
    </xf>
    <xf numFmtId="0" fontId="5" fillId="0" borderId="0" xfId="0" quotePrefix="1" applyFont="1" applyAlignment="1">
      <alignment vertical="center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vertical="center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left" vertical="center"/>
    </xf>
    <xf numFmtId="0" fontId="5" fillId="7" borderId="0" xfId="0" applyFont="1" applyFill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protection hidden="1"/>
    </xf>
    <xf numFmtId="0" fontId="5" fillId="6" borderId="6" xfId="0" applyFont="1" applyFill="1" applyBorder="1" applyAlignment="1" applyProtection="1">
      <protection hidden="1"/>
    </xf>
    <xf numFmtId="0" fontId="52" fillId="0" borderId="0" xfId="0" applyFont="1"/>
    <xf numFmtId="0" fontId="21" fillId="0" borderId="0" xfId="1" applyAlignment="1" applyProtection="1"/>
    <xf numFmtId="0" fontId="5" fillId="7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3" xfId="0" applyFont="1" applyBorder="1" applyAlignment="1" applyProtection="1">
      <alignment vertical="center"/>
      <protection locked="0"/>
    </xf>
    <xf numFmtId="49" fontId="48" fillId="0" borderId="3" xfId="0" applyNumberFormat="1" applyFont="1" applyBorder="1" applyAlignment="1" applyProtection="1">
      <alignment horizontal="center" vertical="center"/>
      <protection locked="0"/>
    </xf>
    <xf numFmtId="4" fontId="48" fillId="0" borderId="3" xfId="0" applyNumberFormat="1" applyFont="1" applyBorder="1" applyAlignment="1" applyProtection="1">
      <alignment horizontal="center" vertical="center"/>
      <protection locked="0"/>
    </xf>
    <xf numFmtId="0" fontId="48" fillId="0" borderId="3" xfId="0" applyFont="1" applyBorder="1" applyAlignment="1" applyProtection="1">
      <alignment horizontal="center" vertical="center"/>
      <protection locked="0"/>
    </xf>
    <xf numFmtId="0" fontId="48" fillId="0" borderId="2" xfId="0" applyFont="1" applyBorder="1" applyAlignment="1" applyProtection="1">
      <alignment vertical="center"/>
      <protection locked="0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0" fontId="48" fillId="0" borderId="2" xfId="0" applyFont="1" applyBorder="1" applyAlignment="1" applyProtection="1">
      <alignment horizontal="center" vertical="center"/>
      <protection locked="0"/>
    </xf>
    <xf numFmtId="0" fontId="54" fillId="8" borderId="1" xfId="0" applyFont="1" applyFill="1" applyBorder="1" applyAlignment="1">
      <alignment horizontal="center" vertical="center"/>
    </xf>
    <xf numFmtId="49" fontId="54" fillId="8" borderId="1" xfId="0" applyNumberFormat="1" applyFont="1" applyFill="1" applyBorder="1" applyAlignment="1">
      <alignment horizontal="center" vertical="center"/>
    </xf>
    <xf numFmtId="0" fontId="54" fillId="8" borderId="35" xfId="0" applyFont="1" applyFill="1" applyBorder="1" applyAlignment="1">
      <alignment horizontal="center" vertical="center"/>
    </xf>
    <xf numFmtId="49" fontId="54" fillId="8" borderId="35" xfId="0" applyNumberFormat="1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5" fillId="0" borderId="1" xfId="0" applyNumberFormat="1" applyFont="1" applyFill="1" applyBorder="1"/>
    <xf numFmtId="0" fontId="1" fillId="0" borderId="0" xfId="0" applyFont="1" applyBorder="1" applyAlignment="1" applyProtection="1">
      <alignment horizontal="left" vertical="center"/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9" fillId="0" borderId="16" xfId="0" applyFont="1" applyFill="1" applyBorder="1" applyAlignment="1" applyProtection="1">
      <alignment horizontal="center" vertical="center"/>
      <protection hidden="1"/>
    </xf>
    <xf numFmtId="0" fontId="23" fillId="3" borderId="36" xfId="0" applyFont="1" applyFill="1" applyBorder="1" applyAlignment="1" applyProtection="1">
      <alignment vertical="center"/>
      <protection hidden="1"/>
    </xf>
    <xf numFmtId="164" fontId="3" fillId="0" borderId="29" xfId="0" applyNumberFormat="1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0" fontId="55" fillId="0" borderId="1" xfId="0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 applyProtection="1">
      <alignment horizontal="center" vertical="center" textRotation="90"/>
    </xf>
    <xf numFmtId="165" fontId="32" fillId="4" borderId="0" xfId="0" applyNumberFormat="1" applyFont="1" applyFill="1" applyBorder="1" applyAlignment="1" applyProtection="1">
      <alignment horizontal="left" vertical="center"/>
    </xf>
    <xf numFmtId="167" fontId="35" fillId="0" borderId="0" xfId="0" applyNumberFormat="1" applyFont="1" applyFill="1" applyBorder="1" applyAlignment="1" applyProtection="1">
      <alignment horizontal="right" vertical="center"/>
      <protection locked="0"/>
    </xf>
    <xf numFmtId="0" fontId="40" fillId="5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7" fillId="3" borderId="0" xfId="0" applyFont="1" applyFill="1" applyAlignment="1" applyProtection="1">
      <alignment vertical="center"/>
      <protection hidden="1"/>
    </xf>
    <xf numFmtId="0" fontId="5" fillId="0" borderId="9" xfId="0" applyFont="1" applyBorder="1" applyAlignment="1">
      <alignment vertical="center" wrapText="1"/>
    </xf>
    <xf numFmtId="0" fontId="1" fillId="5" borderId="0" xfId="0" applyFont="1" applyFill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39" fillId="0" borderId="9" xfId="0" applyFont="1" applyFill="1" applyBorder="1" applyAlignment="1" applyProtection="1">
      <alignment horizontal="center" vertical="center" wrapText="1"/>
      <protection hidden="1"/>
    </xf>
    <xf numFmtId="0" fontId="57" fillId="0" borderId="3" xfId="1" applyFont="1" applyBorder="1" applyAlignment="1" applyProtection="1">
      <alignment horizontal="left" vertical="center"/>
      <protection locked="0"/>
    </xf>
    <xf numFmtId="0" fontId="57" fillId="0" borderId="3" xfId="0" applyFont="1" applyBorder="1" applyAlignment="1" applyProtection="1">
      <alignment horizontal="left" vertical="center"/>
      <protection locked="0"/>
    </xf>
    <xf numFmtId="0" fontId="58" fillId="0" borderId="4" xfId="0" applyFont="1" applyBorder="1" applyAlignment="1" applyProtection="1">
      <alignment horizontal="left" vertical="center"/>
      <protection locked="0"/>
    </xf>
    <xf numFmtId="0" fontId="1" fillId="15" borderId="5" xfId="0" applyFont="1" applyFill="1" applyBorder="1" applyAlignment="1" applyProtection="1">
      <alignment vertical="center"/>
    </xf>
    <xf numFmtId="0" fontId="1" fillId="15" borderId="0" xfId="0" applyFont="1" applyFill="1" applyBorder="1" applyAlignment="1" applyProtection="1">
      <alignment vertical="center"/>
    </xf>
    <xf numFmtId="0" fontId="1" fillId="15" borderId="6" xfId="0" applyFont="1" applyFill="1" applyBorder="1" applyAlignment="1" applyProtection="1">
      <alignment vertical="center"/>
    </xf>
    <xf numFmtId="0" fontId="1" fillId="15" borderId="16" xfId="0" applyFont="1" applyFill="1" applyBorder="1" applyAlignment="1" applyProtection="1">
      <alignment vertical="center"/>
    </xf>
    <xf numFmtId="0" fontId="1" fillId="15" borderId="7" xfId="0" applyFont="1" applyFill="1" applyBorder="1" applyAlignment="1" applyProtection="1">
      <alignment vertical="center"/>
    </xf>
    <xf numFmtId="0" fontId="1" fillId="15" borderId="9" xfId="0" applyFont="1" applyFill="1" applyBorder="1" applyAlignment="1" applyProtection="1">
      <alignment vertical="center"/>
    </xf>
    <xf numFmtId="0" fontId="1" fillId="15" borderId="17" xfId="0" applyFont="1" applyFill="1" applyBorder="1" applyAlignment="1" applyProtection="1">
      <alignment vertical="center"/>
    </xf>
    <xf numFmtId="0" fontId="1" fillId="15" borderId="21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165" fontId="2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37" xfId="0" applyFont="1" applyFill="1" applyBorder="1" applyAlignment="1" applyProtection="1">
      <alignment vertical="center"/>
      <protection hidden="1"/>
    </xf>
    <xf numFmtId="0" fontId="6" fillId="16" borderId="1" xfId="0" applyFont="1" applyFill="1" applyBorder="1" applyAlignment="1">
      <alignment horizontal="center" vertical="center"/>
    </xf>
    <xf numFmtId="168" fontId="5" fillId="16" borderId="2" xfId="0" applyNumberFormat="1" applyFont="1" applyFill="1" applyBorder="1" applyAlignment="1" applyProtection="1">
      <alignment horizontal="center" vertical="center"/>
      <protection locked="0"/>
    </xf>
    <xf numFmtId="168" fontId="5" fillId="16" borderId="3" xfId="0" applyNumberFormat="1" applyFont="1" applyFill="1" applyBorder="1" applyAlignment="1" applyProtection="1">
      <alignment horizontal="center" vertical="center"/>
      <protection locked="0"/>
    </xf>
    <xf numFmtId="168" fontId="5" fillId="16" borderId="4" xfId="0" applyNumberFormat="1" applyFont="1" applyFill="1" applyBorder="1" applyAlignment="1" applyProtection="1">
      <alignment horizontal="center" vertical="center"/>
      <protection locked="0"/>
    </xf>
    <xf numFmtId="0" fontId="24" fillId="16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25" fillId="17" borderId="0" xfId="0" applyFont="1" applyFill="1" applyAlignment="1" applyProtection="1">
      <alignment horizontal="center" vertical="center"/>
      <protection locked="0"/>
    </xf>
    <xf numFmtId="0" fontId="25" fillId="17" borderId="0" xfId="0" applyFont="1" applyFill="1" applyAlignment="1" applyProtection="1">
      <alignment vertical="center"/>
      <protection locked="0"/>
    </xf>
    <xf numFmtId="165" fontId="5" fillId="0" borderId="0" xfId="0" applyNumberFormat="1" applyFont="1" applyBorder="1" applyAlignment="1">
      <alignment vertical="center"/>
    </xf>
    <xf numFmtId="0" fontId="48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17" borderId="0" xfId="0" applyFont="1" applyFill="1" applyBorder="1" applyAlignment="1" applyProtection="1">
      <alignment horizontal="center" vertical="center"/>
      <protection locked="0"/>
    </xf>
    <xf numFmtId="0" fontId="5" fillId="17" borderId="0" xfId="0" applyFont="1" applyFill="1" applyAlignment="1">
      <alignment horizontal="center" vertical="center"/>
    </xf>
    <xf numFmtId="0" fontId="5" fillId="17" borderId="0" xfId="0" applyFont="1" applyFill="1" applyBorder="1" applyAlignment="1" applyProtection="1">
      <alignment vertical="center"/>
      <protection locked="0"/>
    </xf>
    <xf numFmtId="0" fontId="5" fillId="17" borderId="0" xfId="0" applyFont="1" applyFill="1" applyAlignment="1">
      <alignment vertical="center"/>
    </xf>
    <xf numFmtId="0" fontId="55" fillId="0" borderId="1" xfId="0" applyNumberFormat="1" applyFont="1" applyFill="1" applyBorder="1" applyAlignment="1">
      <alignment horizontal="left" vertical="center"/>
    </xf>
    <xf numFmtId="0" fontId="55" fillId="0" borderId="1" xfId="0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Protection="1">
      <protection locked="0"/>
    </xf>
    <xf numFmtId="0" fontId="1" fillId="18" borderId="0" xfId="0" applyFont="1" applyFill="1" applyAlignment="1" applyProtection="1">
      <alignment vertical="center"/>
    </xf>
    <xf numFmtId="0" fontId="1" fillId="18" borderId="0" xfId="0" applyFont="1" applyFill="1" applyBorder="1" applyAlignment="1" applyProtection="1">
      <alignment vertical="center"/>
    </xf>
    <xf numFmtId="0" fontId="40" fillId="18" borderId="0" xfId="0" applyFont="1" applyFill="1" applyBorder="1" applyAlignment="1" applyProtection="1">
      <alignment vertical="center"/>
    </xf>
    <xf numFmtId="0" fontId="0" fillId="18" borderId="0" xfId="0" applyFill="1" applyProtection="1"/>
    <xf numFmtId="0" fontId="5" fillId="18" borderId="0" xfId="0" applyFont="1" applyFill="1" applyAlignment="1" applyProtection="1">
      <alignment vertical="center"/>
    </xf>
    <xf numFmtId="0" fontId="60" fillId="0" borderId="0" xfId="0" applyFont="1"/>
    <xf numFmtId="0" fontId="21" fillId="0" borderId="3" xfId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169" fontId="6" fillId="0" borderId="16" xfId="0" applyNumberFormat="1" applyFont="1" applyBorder="1" applyAlignment="1" applyProtection="1">
      <alignment horizontal="center" vertical="center"/>
      <protection hidden="1"/>
    </xf>
    <xf numFmtId="169" fontId="6" fillId="0" borderId="7" xfId="0" applyNumberFormat="1" applyFont="1" applyBorder="1" applyAlignment="1" applyProtection="1">
      <alignment horizontal="center" vertical="center"/>
      <protection hidden="1"/>
    </xf>
    <xf numFmtId="169" fontId="6" fillId="0" borderId="9" xfId="0" applyNumberFormat="1" applyFont="1" applyBorder="1" applyAlignment="1" applyProtection="1">
      <alignment horizontal="center" vertical="center"/>
      <protection hidden="1"/>
    </xf>
    <xf numFmtId="166" fontId="14" fillId="0" borderId="40" xfId="0" applyNumberFormat="1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10" xfId="0" applyFont="1" applyBorder="1" applyAlignment="1" applyProtection="1">
      <alignment horizontal="left" vertical="center"/>
      <protection locked="0"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horizontal="left" vertical="center"/>
      <protection hidden="1"/>
    </xf>
    <xf numFmtId="0" fontId="5" fillId="0" borderId="41" xfId="0" applyFont="1" applyBorder="1" applyAlignment="1" applyProtection="1">
      <alignment horizontal="left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locked="0" hidden="1"/>
    </xf>
    <xf numFmtId="166" fontId="10" fillId="0" borderId="0" xfId="0" applyNumberFormat="1" applyFont="1" applyBorder="1" applyAlignment="1" applyProtection="1">
      <alignment horizontal="right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166" fontId="10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166" fontId="10" fillId="0" borderId="18" xfId="0" applyNumberFormat="1" applyFont="1" applyBorder="1" applyAlignment="1" applyProtection="1">
      <alignment horizontal="right" vertical="center"/>
      <protection hidden="1"/>
    </xf>
    <xf numFmtId="0" fontId="6" fillId="0" borderId="29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169" fontId="53" fillId="0" borderId="5" xfId="0" applyNumberFormat="1" applyFont="1" applyBorder="1" applyAlignment="1" applyProtection="1">
      <alignment horizontal="center" vertical="center" wrapText="1"/>
      <protection hidden="1"/>
    </xf>
    <xf numFmtId="169" fontId="53" fillId="0" borderId="0" xfId="0" applyNumberFormat="1" applyFont="1" applyBorder="1" applyAlignment="1" applyProtection="1">
      <alignment horizontal="center" vertical="center" wrapText="1"/>
      <protection hidden="1"/>
    </xf>
    <xf numFmtId="169" fontId="53" fillId="0" borderId="6" xfId="0" applyNumberFormat="1" applyFont="1" applyBorder="1" applyAlignment="1" applyProtection="1">
      <alignment horizontal="center" vertical="center" wrapText="1"/>
      <protection hidden="1"/>
    </xf>
    <xf numFmtId="169" fontId="53" fillId="0" borderId="17" xfId="0" applyNumberFormat="1" applyFont="1" applyBorder="1" applyAlignment="1" applyProtection="1">
      <alignment horizontal="center" vertical="center" wrapText="1"/>
      <protection hidden="1"/>
    </xf>
    <xf numFmtId="169" fontId="53" fillId="0" borderId="18" xfId="0" applyNumberFormat="1" applyFont="1" applyBorder="1" applyAlignment="1" applyProtection="1">
      <alignment horizontal="center" vertical="center" wrapText="1"/>
      <protection hidden="1"/>
    </xf>
    <xf numFmtId="169" fontId="53" fillId="0" borderId="21" xfId="0" applyNumberFormat="1" applyFont="1" applyBorder="1" applyAlignment="1" applyProtection="1">
      <alignment horizontal="center" vertical="center" wrapText="1"/>
      <protection hidden="1"/>
    </xf>
    <xf numFmtId="0" fontId="13" fillId="0" borderId="5" xfId="0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Fill="1" applyBorder="1" applyAlignment="1" applyProtection="1">
      <alignment horizontal="center" vertical="center"/>
      <protection locked="0" hidden="1"/>
    </xf>
    <xf numFmtId="0" fontId="13" fillId="0" borderId="10" xfId="0" applyFont="1" applyFill="1" applyBorder="1" applyAlignment="1" applyProtection="1">
      <alignment horizontal="center" vertical="center"/>
      <protection locked="0" hidden="1"/>
    </xf>
    <xf numFmtId="0" fontId="13" fillId="0" borderId="17" xfId="0" applyFont="1" applyFill="1" applyBorder="1" applyAlignment="1" applyProtection="1">
      <alignment horizontal="center" vertical="center"/>
      <protection locked="0" hidden="1"/>
    </xf>
    <xf numFmtId="0" fontId="13" fillId="0" borderId="18" xfId="0" applyFont="1" applyFill="1" applyBorder="1" applyAlignment="1" applyProtection="1">
      <alignment horizontal="center" vertical="center"/>
      <protection locked="0" hidden="1"/>
    </xf>
    <xf numFmtId="0" fontId="13" fillId="0" borderId="20" xfId="0" applyFont="1" applyFill="1" applyBorder="1" applyAlignment="1" applyProtection="1">
      <alignment horizontal="center" vertical="center"/>
      <protection locked="0" hidden="1"/>
    </xf>
    <xf numFmtId="49" fontId="3" fillId="0" borderId="29" xfId="0" applyNumberFormat="1" applyFont="1" applyBorder="1" applyAlignment="1" applyProtection="1">
      <alignment horizontal="center" vertical="center"/>
      <protection locked="0" hidden="1"/>
    </xf>
    <xf numFmtId="49" fontId="3" fillId="0" borderId="11" xfId="0" applyNumberFormat="1" applyFont="1" applyBorder="1" applyAlignment="1" applyProtection="1">
      <alignment horizontal="center" vertical="center"/>
      <protection locked="0" hidden="1"/>
    </xf>
    <xf numFmtId="49" fontId="3" fillId="0" borderId="12" xfId="0" applyNumberFormat="1" applyFont="1" applyBorder="1" applyAlignment="1" applyProtection="1">
      <alignment horizontal="center" vertical="center"/>
      <protection locked="0" hidden="1"/>
    </xf>
    <xf numFmtId="0" fontId="51" fillId="0" borderId="16" xfId="0" applyFont="1" applyFill="1" applyBorder="1" applyAlignment="1" applyProtection="1">
      <alignment horizontal="center" vertical="center" wrapText="1"/>
    </xf>
    <xf numFmtId="0" fontId="49" fillId="0" borderId="7" xfId="0" applyFont="1" applyFill="1" applyBorder="1" applyAlignment="1" applyProtection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</xf>
    <xf numFmtId="0" fontId="49" fillId="0" borderId="5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 wrapText="1"/>
    </xf>
    <xf numFmtId="0" fontId="49" fillId="0" borderId="6" xfId="0" applyFont="1" applyFill="1" applyBorder="1" applyAlignment="1" applyProtection="1">
      <alignment horizontal="center" vertical="center" wrapText="1"/>
    </xf>
    <xf numFmtId="0" fontId="49" fillId="0" borderId="17" xfId="0" applyFont="1" applyFill="1" applyBorder="1" applyAlignment="1" applyProtection="1">
      <alignment horizontal="center" vertical="center" wrapText="1"/>
    </xf>
    <xf numFmtId="0" fontId="49" fillId="0" borderId="18" xfId="0" applyFont="1" applyFill="1" applyBorder="1" applyAlignment="1" applyProtection="1">
      <alignment horizontal="center" vertical="center" wrapText="1"/>
    </xf>
    <xf numFmtId="0" fontId="49" fillId="0" borderId="21" xfId="0" applyFont="1" applyFill="1" applyBorder="1" applyAlignment="1" applyProtection="1">
      <alignment horizontal="center" vertical="center" wrapText="1"/>
    </xf>
    <xf numFmtId="0" fontId="11" fillId="9" borderId="42" xfId="0" applyFont="1" applyFill="1" applyBorder="1" applyAlignment="1" applyProtection="1">
      <alignment horizontal="center" vertical="center"/>
      <protection hidden="1"/>
    </xf>
    <xf numFmtId="0" fontId="11" fillId="9" borderId="43" xfId="0" applyFont="1" applyFill="1" applyBorder="1" applyAlignment="1" applyProtection="1">
      <alignment horizontal="center" vertical="center"/>
      <protection hidden="1"/>
    </xf>
    <xf numFmtId="0" fontId="11" fillId="9" borderId="44" xfId="0" applyFont="1" applyFill="1" applyBorder="1" applyAlignment="1" applyProtection="1">
      <alignment horizontal="center" vertical="center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0" fontId="3" fillId="0" borderId="14" xfId="0" applyNumberFormat="1" applyFont="1" applyBorder="1" applyAlignment="1" applyProtection="1">
      <alignment horizontal="center" vertical="center" wrapText="1"/>
      <protection hidden="1"/>
    </xf>
    <xf numFmtId="0" fontId="3" fillId="0" borderId="15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NumberFormat="1" applyFont="1" applyBorder="1" applyAlignment="1" applyProtection="1">
      <alignment horizontal="center" vertical="center" wrapText="1"/>
      <protection hidden="1"/>
    </xf>
    <xf numFmtId="164" fontId="56" fillId="0" borderId="17" xfId="0" applyNumberFormat="1" applyFont="1" applyBorder="1" applyAlignment="1" applyProtection="1">
      <alignment horizontal="left" vertical="center"/>
      <protection locked="0" hidden="1"/>
    </xf>
    <xf numFmtId="164" fontId="56" fillId="0" borderId="18" xfId="0" applyNumberFormat="1" applyFont="1" applyBorder="1" applyAlignment="1" applyProtection="1">
      <alignment horizontal="left" vertical="center"/>
      <protection locked="0" hidden="1"/>
    </xf>
    <xf numFmtId="164" fontId="56" fillId="0" borderId="20" xfId="0" applyNumberFormat="1" applyFont="1" applyBorder="1" applyAlignment="1" applyProtection="1">
      <alignment horizontal="left" vertical="center"/>
      <protection locked="0" hidden="1"/>
    </xf>
    <xf numFmtId="164" fontId="3" fillId="0" borderId="24" xfId="0" applyNumberFormat="1" applyFont="1" applyBorder="1" applyAlignment="1" applyProtection="1">
      <alignment horizontal="left" vertical="center"/>
      <protection hidden="1"/>
    </xf>
    <xf numFmtId="164" fontId="3" fillId="0" borderId="7" xfId="0" applyNumberFormat="1" applyFont="1" applyBorder="1" applyAlignment="1" applyProtection="1">
      <alignment horizontal="left" vertical="center"/>
      <protection hidden="1"/>
    </xf>
    <xf numFmtId="164" fontId="3" fillId="0" borderId="9" xfId="0" applyNumberFormat="1" applyFont="1" applyBorder="1" applyAlignment="1" applyProtection="1">
      <alignment horizontal="left" vertical="center"/>
      <protection hidden="1"/>
    </xf>
    <xf numFmtId="164" fontId="37" fillId="0" borderId="5" xfId="0" applyNumberFormat="1" applyFont="1" applyBorder="1" applyAlignment="1" applyProtection="1">
      <alignment horizontal="center" vertical="center"/>
      <protection locked="0" hidden="1"/>
    </xf>
    <xf numFmtId="164" fontId="37" fillId="0" borderId="0" xfId="0" applyNumberFormat="1" applyFont="1" applyBorder="1" applyAlignment="1" applyProtection="1">
      <alignment horizontal="center" vertical="center"/>
      <protection locked="0" hidden="1"/>
    </xf>
    <xf numFmtId="164" fontId="37" fillId="0" borderId="10" xfId="0" applyNumberFormat="1" applyFont="1" applyBorder="1" applyAlignment="1" applyProtection="1">
      <alignment horizontal="center" vertical="center"/>
      <protection locked="0" hidden="1"/>
    </xf>
    <xf numFmtId="164" fontId="37" fillId="0" borderId="45" xfId="0" applyNumberFormat="1" applyFont="1" applyBorder="1" applyAlignment="1" applyProtection="1">
      <alignment horizontal="center" vertical="center"/>
      <protection locked="0" hidden="1"/>
    </xf>
    <xf numFmtId="164" fontId="37" fillId="0" borderId="27" xfId="0" applyNumberFormat="1" applyFont="1" applyBorder="1" applyAlignment="1" applyProtection="1">
      <alignment horizontal="center" vertical="center"/>
      <protection locked="0" hidden="1"/>
    </xf>
    <xf numFmtId="164" fontId="37" fillId="0" borderId="41" xfId="0" applyNumberFormat="1" applyFont="1" applyBorder="1" applyAlignment="1" applyProtection="1">
      <alignment horizontal="center" vertical="center"/>
      <protection locked="0" hidden="1"/>
    </xf>
    <xf numFmtId="164" fontId="3" fillId="0" borderId="16" xfId="0" applyNumberFormat="1" applyFont="1" applyBorder="1" applyAlignment="1" applyProtection="1">
      <alignment horizontal="left" vertical="center"/>
      <protection hidden="1"/>
    </xf>
    <xf numFmtId="164" fontId="3" fillId="0" borderId="8" xfId="0" applyNumberFormat="1" applyFont="1" applyBorder="1" applyAlignment="1" applyProtection="1">
      <alignment horizontal="left" vertical="center"/>
      <protection hidden="1"/>
    </xf>
    <xf numFmtId="165" fontId="3" fillId="0" borderId="13" xfId="0" applyNumberFormat="1" applyFont="1" applyBorder="1" applyAlignment="1" applyProtection="1">
      <alignment horizontal="left" vertical="center"/>
      <protection hidden="1"/>
    </xf>
    <xf numFmtId="165" fontId="3" fillId="0" borderId="11" xfId="0" applyNumberFormat="1" applyFont="1" applyBorder="1" applyAlignment="1" applyProtection="1">
      <alignment horizontal="left" vertical="center"/>
      <protection hidden="1"/>
    </xf>
    <xf numFmtId="165" fontId="3" fillId="0" borderId="12" xfId="0" applyNumberFormat="1" applyFont="1" applyBorder="1" applyAlignment="1" applyProtection="1">
      <alignment horizontal="left" vertical="center"/>
      <protection hidden="1"/>
    </xf>
    <xf numFmtId="0" fontId="2" fillId="0" borderId="35" xfId="0" applyFont="1" applyBorder="1" applyAlignment="1" applyProtection="1">
      <alignment horizontal="center" vertical="center" textRotation="90"/>
      <protection hidden="1"/>
    </xf>
    <xf numFmtId="0" fontId="2" fillId="0" borderId="46" xfId="0" applyFont="1" applyBorder="1" applyAlignment="1" applyProtection="1">
      <alignment horizontal="center" vertical="center" textRotation="90"/>
      <protection hidden="1"/>
    </xf>
    <xf numFmtId="0" fontId="2" fillId="0" borderId="39" xfId="0" applyFont="1" applyBorder="1" applyAlignment="1" applyProtection="1">
      <alignment horizontal="center" vertical="center" textRotation="90"/>
      <protection hidden="1"/>
    </xf>
    <xf numFmtId="164" fontId="3" fillId="0" borderId="5" xfId="0" applyNumberFormat="1" applyFont="1" applyBorder="1" applyAlignment="1" applyProtection="1">
      <alignment horizontal="left" vertical="center"/>
      <protection hidden="1"/>
    </xf>
    <xf numFmtId="164" fontId="3" fillId="0" borderId="0" xfId="0" applyNumberFormat="1" applyFont="1" applyBorder="1" applyAlignment="1" applyProtection="1">
      <alignment horizontal="left" vertical="center"/>
      <protection hidden="1"/>
    </xf>
    <xf numFmtId="169" fontId="37" fillId="0" borderId="15" xfId="0" applyNumberFormat="1" applyFont="1" applyBorder="1" applyAlignment="1" applyProtection="1">
      <alignment horizontal="center" vertical="center"/>
      <protection hidden="1"/>
    </xf>
    <xf numFmtId="169" fontId="37" fillId="0" borderId="0" xfId="0" applyNumberFormat="1" applyFont="1" applyBorder="1" applyAlignment="1" applyProtection="1">
      <alignment horizontal="center" vertical="center"/>
      <protection hidden="1"/>
    </xf>
    <xf numFmtId="169" fontId="37" fillId="0" borderId="6" xfId="0" applyNumberFormat="1" applyFont="1" applyBorder="1" applyAlignment="1" applyProtection="1">
      <alignment horizontal="center" vertical="center"/>
      <protection hidden="1"/>
    </xf>
    <xf numFmtId="169" fontId="37" fillId="0" borderId="26" xfId="0" applyNumberFormat="1" applyFont="1" applyBorder="1" applyAlignment="1" applyProtection="1">
      <alignment horizontal="center" vertical="center"/>
      <protection hidden="1"/>
    </xf>
    <xf numFmtId="169" fontId="37" fillId="0" borderId="27" xfId="0" applyNumberFormat="1" applyFont="1" applyBorder="1" applyAlignment="1" applyProtection="1">
      <alignment horizontal="center" vertical="center"/>
      <protection hidden="1"/>
    </xf>
    <xf numFmtId="169" fontId="37" fillId="0" borderId="28" xfId="0" applyNumberFormat="1" applyFont="1" applyBorder="1" applyAlignment="1" applyProtection="1">
      <alignment horizontal="center" vertical="center"/>
      <protection hidden="1"/>
    </xf>
    <xf numFmtId="165" fontId="56" fillId="0" borderId="26" xfId="0" applyNumberFormat="1" applyFont="1" applyBorder="1" applyAlignment="1" applyProtection="1">
      <alignment horizontal="left" vertical="center"/>
      <protection hidden="1"/>
    </xf>
    <xf numFmtId="165" fontId="56" fillId="0" borderId="27" xfId="0" applyNumberFormat="1" applyFont="1" applyBorder="1" applyAlignment="1" applyProtection="1">
      <alignment horizontal="left" vertical="center"/>
      <protection hidden="1"/>
    </xf>
    <xf numFmtId="165" fontId="56" fillId="0" borderId="41" xfId="0" applyNumberFormat="1" applyFont="1" applyBorder="1" applyAlignment="1" applyProtection="1">
      <alignment horizontal="left" vertical="center"/>
      <protection hidden="1"/>
    </xf>
    <xf numFmtId="165" fontId="56" fillId="0" borderId="26" xfId="0" applyNumberFormat="1" applyFont="1" applyBorder="1" applyAlignment="1" applyProtection="1">
      <alignment horizontal="left" vertical="center"/>
      <protection locked="0" hidden="1"/>
    </xf>
    <xf numFmtId="165" fontId="56" fillId="0" borderId="27" xfId="0" applyNumberFormat="1" applyFont="1" applyBorder="1" applyAlignment="1" applyProtection="1">
      <alignment horizontal="left" vertical="center"/>
      <protection locked="0" hidden="1"/>
    </xf>
    <xf numFmtId="165" fontId="56" fillId="0" borderId="41" xfId="0" applyNumberFormat="1" applyFont="1" applyBorder="1" applyAlignment="1" applyProtection="1">
      <alignment horizontal="left" vertical="center"/>
      <protection locked="0"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164" fontId="37" fillId="0" borderId="15" xfId="0" applyNumberFormat="1" applyFont="1" applyBorder="1" applyAlignment="1" applyProtection="1">
      <alignment horizontal="center" vertical="center"/>
      <protection locked="0" hidden="1"/>
    </xf>
    <xf numFmtId="164" fontId="37" fillId="0" borderId="6" xfId="0" applyNumberFormat="1" applyFont="1" applyBorder="1" applyAlignment="1" applyProtection="1">
      <alignment horizontal="center" vertical="center"/>
      <protection locked="0" hidden="1"/>
    </xf>
    <xf numFmtId="164" fontId="37" fillId="0" borderId="26" xfId="0" applyNumberFormat="1" applyFont="1" applyBorder="1" applyAlignment="1" applyProtection="1">
      <alignment horizontal="center" vertical="center"/>
      <protection locked="0" hidden="1"/>
    </xf>
    <xf numFmtId="164" fontId="37" fillId="0" borderId="28" xfId="0" applyNumberFormat="1" applyFont="1" applyBorder="1" applyAlignment="1" applyProtection="1">
      <alignment horizontal="center" vertical="center"/>
      <protection locked="0" hidden="1"/>
    </xf>
    <xf numFmtId="164" fontId="3" fillId="0" borderId="13" xfId="0" applyNumberFormat="1" applyFont="1" applyBorder="1" applyAlignment="1" applyProtection="1">
      <alignment horizontal="left" vertical="center"/>
      <protection hidden="1"/>
    </xf>
    <xf numFmtId="164" fontId="3" fillId="0" borderId="11" xfId="0" applyNumberFormat="1" applyFont="1" applyBorder="1" applyAlignment="1" applyProtection="1">
      <alignment horizontal="left" vertical="center"/>
      <protection hidden="1"/>
    </xf>
    <xf numFmtId="164" fontId="3" fillId="0" borderId="14" xfId="0" applyNumberFormat="1" applyFont="1" applyBorder="1" applyAlignment="1" applyProtection="1">
      <alignment horizontal="left" vertical="center"/>
      <protection hidden="1"/>
    </xf>
    <xf numFmtId="165" fontId="56" fillId="0" borderId="30" xfId="0" applyNumberFormat="1" applyFont="1" applyBorder="1" applyAlignment="1" applyProtection="1">
      <alignment horizontal="left" vertical="center"/>
      <protection locked="0" hidden="1"/>
    </xf>
    <xf numFmtId="165" fontId="56" fillId="0" borderId="18" xfId="0" applyNumberFormat="1" applyFont="1" applyBorder="1" applyAlignment="1" applyProtection="1">
      <alignment horizontal="left" vertical="center"/>
      <protection locked="0" hidden="1"/>
    </xf>
    <xf numFmtId="165" fontId="56" fillId="0" borderId="21" xfId="0" applyNumberFormat="1" applyFont="1" applyBorder="1" applyAlignment="1" applyProtection="1">
      <alignment horizontal="left" vertical="center"/>
      <protection locked="0" hidden="1"/>
    </xf>
    <xf numFmtId="164" fontId="3" fillId="0" borderId="12" xfId="0" applyNumberFormat="1" applyFont="1" applyBorder="1" applyAlignment="1" applyProtection="1">
      <alignment horizontal="left" vertical="center"/>
      <protection hidden="1"/>
    </xf>
    <xf numFmtId="169" fontId="37" fillId="0" borderId="5" xfId="0" applyNumberFormat="1" applyFont="1" applyBorder="1" applyAlignment="1" applyProtection="1">
      <alignment horizontal="center" vertical="center"/>
      <protection locked="0" hidden="1"/>
    </xf>
    <xf numFmtId="169" fontId="37" fillId="0" borderId="0" xfId="0" applyNumberFormat="1" applyFont="1" applyBorder="1" applyAlignment="1" applyProtection="1">
      <alignment horizontal="center" vertical="center"/>
      <protection locked="0" hidden="1"/>
    </xf>
    <xf numFmtId="169" fontId="37" fillId="0" borderId="10" xfId="0" applyNumberFormat="1" applyFont="1" applyBorder="1" applyAlignment="1" applyProtection="1">
      <alignment horizontal="center" vertical="center"/>
      <protection locked="0" hidden="1"/>
    </xf>
    <xf numFmtId="169" fontId="37" fillId="0" borderId="45" xfId="0" applyNumberFormat="1" applyFont="1" applyBorder="1" applyAlignment="1" applyProtection="1">
      <alignment horizontal="center" vertical="center"/>
      <protection locked="0" hidden="1"/>
    </xf>
    <xf numFmtId="169" fontId="37" fillId="0" borderId="27" xfId="0" applyNumberFormat="1" applyFont="1" applyBorder="1" applyAlignment="1" applyProtection="1">
      <alignment horizontal="center" vertical="center"/>
      <protection locked="0" hidden="1"/>
    </xf>
    <xf numFmtId="169" fontId="37" fillId="0" borderId="41" xfId="0" applyNumberFormat="1" applyFont="1" applyBorder="1" applyAlignment="1" applyProtection="1">
      <alignment horizontal="center" vertical="center"/>
      <protection locked="0" hidden="1"/>
    </xf>
    <xf numFmtId="165" fontId="3" fillId="0" borderId="15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10" xfId="0" applyNumberFormat="1" applyFont="1" applyBorder="1" applyAlignment="1" applyProtection="1">
      <alignment horizontal="center" vertical="center"/>
      <protection hidden="1"/>
    </xf>
    <xf numFmtId="165" fontId="3" fillId="0" borderId="26" xfId="0" applyNumberFormat="1" applyFont="1" applyBorder="1" applyAlignment="1" applyProtection="1">
      <alignment horizontal="center" vertical="center"/>
      <protection hidden="1"/>
    </xf>
    <xf numFmtId="165" fontId="3" fillId="0" borderId="27" xfId="0" applyNumberFormat="1" applyFont="1" applyBorder="1" applyAlignment="1" applyProtection="1">
      <alignment horizontal="center" vertical="center"/>
      <protection hidden="1"/>
    </xf>
    <xf numFmtId="165" fontId="3" fillId="0" borderId="41" xfId="0" applyNumberFormat="1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17" xfId="0" applyFont="1" applyBorder="1" applyAlignment="1" applyProtection="1">
      <alignment horizontal="center" vertical="center" wrapText="1"/>
      <protection hidden="1"/>
    </xf>
    <xf numFmtId="0" fontId="14" fillId="0" borderId="18" xfId="0" applyFont="1" applyBorder="1" applyAlignment="1" applyProtection="1">
      <alignment horizontal="center" vertical="center" wrapText="1"/>
      <protection hidden="1"/>
    </xf>
    <xf numFmtId="0" fontId="14" fillId="0" borderId="21" xfId="0" applyFont="1" applyBorder="1" applyAlignment="1" applyProtection="1">
      <alignment horizontal="center" vertical="center" wrapText="1"/>
      <protection hidden="1"/>
    </xf>
    <xf numFmtId="0" fontId="37" fillId="0" borderId="5" xfId="0" applyNumberFormat="1" applyFont="1" applyBorder="1" applyAlignment="1" applyProtection="1">
      <alignment horizontal="center" vertical="center"/>
      <protection locked="0" hidden="1"/>
    </xf>
    <xf numFmtId="0" fontId="37" fillId="0" borderId="0" xfId="0" applyNumberFormat="1" applyFont="1" applyBorder="1" applyAlignment="1" applyProtection="1">
      <alignment horizontal="center" vertical="center"/>
      <protection locked="0" hidden="1"/>
    </xf>
    <xf numFmtId="0" fontId="37" fillId="0" borderId="45" xfId="0" applyNumberFormat="1" applyFont="1" applyBorder="1" applyAlignment="1" applyProtection="1">
      <alignment horizontal="center" vertical="center"/>
      <protection locked="0" hidden="1"/>
    </xf>
    <xf numFmtId="0" fontId="37" fillId="0" borderId="27" xfId="0" applyNumberFormat="1" applyFont="1" applyBorder="1" applyAlignment="1" applyProtection="1">
      <alignment horizontal="center" vertical="center"/>
      <protection locked="0" hidden="1"/>
    </xf>
    <xf numFmtId="0" fontId="37" fillId="0" borderId="15" xfId="0" applyNumberFormat="1" applyFont="1" applyBorder="1" applyAlignment="1" applyProtection="1">
      <alignment horizontal="center" vertical="center"/>
      <protection locked="0" hidden="1"/>
    </xf>
    <xf numFmtId="49" fontId="37" fillId="0" borderId="0" xfId="0" applyNumberFormat="1" applyFont="1" applyBorder="1" applyAlignment="1" applyProtection="1">
      <alignment horizontal="center" vertical="center"/>
      <protection locked="0" hidden="1"/>
    </xf>
    <xf numFmtId="49" fontId="37" fillId="0" borderId="10" xfId="0" applyNumberFormat="1" applyFont="1" applyBorder="1" applyAlignment="1" applyProtection="1">
      <alignment horizontal="center" vertical="center"/>
      <protection locked="0" hidden="1"/>
    </xf>
    <xf numFmtId="49" fontId="37" fillId="0" borderId="26" xfId="0" applyNumberFormat="1" applyFont="1" applyBorder="1" applyAlignment="1" applyProtection="1">
      <alignment horizontal="center" vertical="center"/>
      <protection locked="0" hidden="1"/>
    </xf>
    <xf numFmtId="49" fontId="37" fillId="0" borderId="27" xfId="0" applyNumberFormat="1" applyFont="1" applyBorder="1" applyAlignment="1" applyProtection="1">
      <alignment horizontal="center" vertical="center"/>
      <protection locked="0" hidden="1"/>
    </xf>
    <xf numFmtId="49" fontId="37" fillId="0" borderId="41" xfId="0" applyNumberFormat="1" applyFont="1" applyBorder="1" applyAlignment="1" applyProtection="1">
      <alignment horizontal="center" vertical="center"/>
      <protection locked="0" hidden="1"/>
    </xf>
    <xf numFmtId="49" fontId="3" fillId="10" borderId="13" xfId="0" applyNumberFormat="1" applyFont="1" applyFill="1" applyBorder="1" applyAlignment="1" applyProtection="1">
      <alignment horizontal="center" vertical="center"/>
      <protection hidden="1"/>
    </xf>
    <xf numFmtId="49" fontId="3" fillId="10" borderId="11" xfId="0" applyNumberFormat="1" applyFont="1" applyFill="1" applyBorder="1" applyAlignment="1" applyProtection="1">
      <alignment horizontal="center" vertical="center"/>
      <protection hidden="1"/>
    </xf>
    <xf numFmtId="49" fontId="3" fillId="10" borderId="14" xfId="0" applyNumberFormat="1" applyFont="1" applyFill="1" applyBorder="1" applyAlignment="1" applyProtection="1">
      <alignment horizontal="center" vertical="center"/>
      <protection hidden="1"/>
    </xf>
    <xf numFmtId="49" fontId="3" fillId="10" borderId="15" xfId="0" applyNumberFormat="1" applyFont="1" applyFill="1" applyBorder="1" applyAlignment="1" applyProtection="1">
      <alignment horizontal="center" vertical="center"/>
      <protection hidden="1"/>
    </xf>
    <xf numFmtId="49" fontId="3" fillId="10" borderId="0" xfId="0" applyNumberFormat="1" applyFont="1" applyFill="1" applyBorder="1" applyAlignment="1" applyProtection="1">
      <alignment horizontal="center" vertical="center"/>
      <protection hidden="1"/>
    </xf>
    <xf numFmtId="49" fontId="3" fillId="10" borderId="6" xfId="0" applyNumberFormat="1" applyFont="1" applyFill="1" applyBorder="1" applyAlignment="1" applyProtection="1">
      <alignment horizontal="center" vertical="center"/>
      <protection hidden="1"/>
    </xf>
    <xf numFmtId="49" fontId="3" fillId="10" borderId="26" xfId="0" applyNumberFormat="1" applyFont="1" applyFill="1" applyBorder="1" applyAlignment="1" applyProtection="1">
      <alignment horizontal="center" vertical="center"/>
      <protection hidden="1"/>
    </xf>
    <xf numFmtId="49" fontId="3" fillId="10" borderId="27" xfId="0" applyNumberFormat="1" applyFont="1" applyFill="1" applyBorder="1" applyAlignment="1" applyProtection="1">
      <alignment horizontal="center" vertical="center"/>
      <protection hidden="1"/>
    </xf>
    <xf numFmtId="49" fontId="3" fillId="10" borderId="28" xfId="0" applyNumberFormat="1" applyFont="1" applyFill="1" applyBorder="1" applyAlignment="1" applyProtection="1">
      <alignment horizontal="center" vertical="center"/>
      <protection hidden="1"/>
    </xf>
    <xf numFmtId="164" fontId="56" fillId="0" borderId="45" xfId="0" applyNumberFormat="1" applyFont="1" applyBorder="1" applyAlignment="1" applyProtection="1">
      <alignment horizontal="left" vertical="center"/>
      <protection locked="0" hidden="1"/>
    </xf>
    <xf numFmtId="164" fontId="56" fillId="0" borderId="27" xfId="0" applyNumberFormat="1" applyFont="1" applyBorder="1" applyAlignment="1" applyProtection="1">
      <alignment horizontal="left" vertical="center"/>
      <protection locked="0" hidden="1"/>
    </xf>
    <xf numFmtId="164" fontId="56" fillId="0" borderId="41" xfId="0" applyNumberFormat="1" applyFont="1" applyBorder="1" applyAlignment="1" applyProtection="1">
      <alignment horizontal="left" vertical="center"/>
      <protection locked="0" hidden="1"/>
    </xf>
    <xf numFmtId="165" fontId="56" fillId="0" borderId="45" xfId="0" applyNumberFormat="1" applyFont="1" applyBorder="1" applyAlignment="1" applyProtection="1">
      <alignment horizontal="left" vertical="center"/>
      <protection locked="0" hidden="1"/>
    </xf>
    <xf numFmtId="164" fontId="56" fillId="0" borderId="26" xfId="0" applyNumberFormat="1" applyFont="1" applyBorder="1" applyAlignment="1" applyProtection="1">
      <alignment horizontal="left" vertical="center"/>
      <protection locked="0" hidden="1"/>
    </xf>
    <xf numFmtId="164" fontId="56" fillId="0" borderId="28" xfId="0" applyNumberFormat="1" applyFont="1" applyBorder="1" applyAlignment="1" applyProtection="1">
      <alignment horizontal="left" vertical="center"/>
      <protection locked="0" hidden="1"/>
    </xf>
    <xf numFmtId="0" fontId="56" fillId="0" borderId="26" xfId="0" applyFont="1" applyBorder="1" applyAlignment="1" applyProtection="1">
      <alignment horizontal="center" vertical="center"/>
      <protection locked="0" hidden="1"/>
    </xf>
    <xf numFmtId="0" fontId="56" fillId="0" borderId="27" xfId="0" applyFont="1" applyBorder="1" applyAlignment="1" applyProtection="1">
      <alignment horizontal="center" vertical="center"/>
      <protection locked="0" hidden="1"/>
    </xf>
    <xf numFmtId="0" fontId="56" fillId="0" borderId="41" xfId="0" applyFont="1" applyBorder="1" applyAlignment="1" applyProtection="1">
      <alignment horizontal="center" vertical="center"/>
      <protection locked="0" hidden="1"/>
    </xf>
    <xf numFmtId="0" fontId="56" fillId="0" borderId="26" xfId="0" applyFont="1" applyBorder="1" applyAlignment="1" applyProtection="1">
      <alignment horizontal="center" vertical="center"/>
      <protection hidden="1"/>
    </xf>
    <xf numFmtId="0" fontId="56" fillId="0" borderId="27" xfId="0" applyFont="1" applyBorder="1" applyAlignment="1" applyProtection="1">
      <alignment horizontal="center" vertical="center"/>
      <protection hidden="1"/>
    </xf>
    <xf numFmtId="0" fontId="56" fillId="0" borderId="28" xfId="0" applyFont="1" applyBorder="1" applyAlignment="1" applyProtection="1">
      <alignment horizontal="center" vertical="center"/>
      <protection hidden="1"/>
    </xf>
    <xf numFmtId="165" fontId="56" fillId="19" borderId="26" xfId="0" applyNumberFormat="1" applyFont="1" applyFill="1" applyBorder="1" applyAlignment="1" applyProtection="1">
      <alignment horizontal="left" vertical="center"/>
      <protection locked="0" hidden="1"/>
    </xf>
    <xf numFmtId="165" fontId="56" fillId="19" borderId="27" xfId="0" applyNumberFormat="1" applyFont="1" applyFill="1" applyBorder="1" applyAlignment="1" applyProtection="1">
      <alignment horizontal="left" vertical="center"/>
      <protection locked="0" hidden="1"/>
    </xf>
    <xf numFmtId="165" fontId="56" fillId="19" borderId="41" xfId="0" applyNumberFormat="1" applyFont="1" applyFill="1" applyBorder="1" applyAlignment="1" applyProtection="1">
      <alignment horizontal="left" vertical="center"/>
      <protection locked="0" hidden="1"/>
    </xf>
    <xf numFmtId="0" fontId="34" fillId="3" borderId="18" xfId="0" applyFont="1" applyFill="1" applyBorder="1" applyAlignment="1" applyProtection="1">
      <alignment horizontal="center" vertical="center"/>
      <protection hidden="1"/>
    </xf>
    <xf numFmtId="164" fontId="56" fillId="0" borderId="30" xfId="0" applyNumberFormat="1" applyFont="1" applyBorder="1" applyAlignment="1" applyProtection="1">
      <alignment horizontal="left" vertical="center"/>
      <protection locked="0"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18" xfId="0" applyFont="1" applyFill="1" applyBorder="1" applyAlignment="1" applyProtection="1">
      <alignment horizontal="center" vertical="center"/>
      <protection hidden="1"/>
    </xf>
    <xf numFmtId="0" fontId="9" fillId="6" borderId="21" xfId="0" applyFont="1" applyFill="1" applyBorder="1" applyAlignment="1" applyProtection="1">
      <alignment horizontal="center" vertical="center"/>
      <protection hidden="1"/>
    </xf>
    <xf numFmtId="164" fontId="44" fillId="0" borderId="5" xfId="0" applyNumberFormat="1" applyFont="1" applyBorder="1" applyAlignment="1" applyProtection="1">
      <alignment horizontal="left" vertical="center"/>
      <protection hidden="1"/>
    </xf>
    <xf numFmtId="164" fontId="44" fillId="0" borderId="0" xfId="0" applyNumberFormat="1" applyFont="1" applyBorder="1" applyAlignment="1" applyProtection="1">
      <alignment horizontal="left" vertical="center"/>
      <protection hidden="1"/>
    </xf>
    <xf numFmtId="164" fontId="44" fillId="0" borderId="6" xfId="0" applyNumberFormat="1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39" fillId="11" borderId="16" xfId="0" applyFont="1" applyFill="1" applyBorder="1" applyAlignment="1" applyProtection="1">
      <alignment horizontal="center" vertical="center"/>
      <protection hidden="1"/>
    </xf>
    <xf numFmtId="0" fontId="39" fillId="11" borderId="7" xfId="0" applyFont="1" applyFill="1" applyBorder="1" applyAlignment="1" applyProtection="1">
      <alignment horizontal="center" vertical="center"/>
      <protection hidden="1"/>
    </xf>
    <xf numFmtId="0" fontId="39" fillId="11" borderId="9" xfId="0" applyFont="1" applyFill="1" applyBorder="1" applyAlignment="1" applyProtection="1">
      <alignment horizontal="center" vertical="center"/>
      <protection hidden="1"/>
    </xf>
    <xf numFmtId="0" fontId="39" fillId="11" borderId="17" xfId="0" applyFont="1" applyFill="1" applyBorder="1" applyAlignment="1" applyProtection="1">
      <alignment horizontal="center" vertical="center"/>
      <protection hidden="1"/>
    </xf>
    <xf numFmtId="0" fontId="39" fillId="11" borderId="18" xfId="0" applyFont="1" applyFill="1" applyBorder="1" applyAlignment="1" applyProtection="1">
      <alignment horizontal="center" vertical="center"/>
      <protection hidden="1"/>
    </xf>
    <xf numFmtId="0" fontId="39" fillId="11" borderId="21" xfId="0" applyFont="1" applyFill="1" applyBorder="1" applyAlignment="1" applyProtection="1">
      <alignment horizontal="center" vertical="center"/>
      <protection hidden="1"/>
    </xf>
    <xf numFmtId="0" fontId="39" fillId="0" borderId="16" xfId="0" applyFont="1" applyFill="1" applyBorder="1" applyAlignment="1" applyProtection="1">
      <alignment horizontal="center" vertical="center" wrapText="1"/>
      <protection hidden="1"/>
    </xf>
    <xf numFmtId="0" fontId="39" fillId="0" borderId="7" xfId="0" applyFont="1" applyFill="1" applyBorder="1" applyAlignment="1" applyProtection="1">
      <alignment horizontal="center" vertical="center" wrapText="1"/>
      <protection hidden="1"/>
    </xf>
    <xf numFmtId="0" fontId="39" fillId="0" borderId="9" xfId="0" applyFont="1" applyFill="1" applyBorder="1" applyAlignment="1" applyProtection="1">
      <alignment horizontal="center" vertical="center" wrapText="1"/>
      <protection hidden="1"/>
    </xf>
    <xf numFmtId="0" fontId="39" fillId="0" borderId="17" xfId="0" applyFont="1" applyFill="1" applyBorder="1" applyAlignment="1" applyProtection="1">
      <alignment horizontal="center" vertical="center" wrapText="1"/>
      <protection hidden="1"/>
    </xf>
    <xf numFmtId="0" fontId="39" fillId="0" borderId="18" xfId="0" applyFont="1" applyFill="1" applyBorder="1" applyAlignment="1" applyProtection="1">
      <alignment horizontal="center" vertical="center" wrapText="1"/>
      <protection hidden="1"/>
    </xf>
    <xf numFmtId="0" fontId="39" fillId="0" borderId="21" xfId="0" applyFont="1" applyFill="1" applyBorder="1" applyAlignment="1" applyProtection="1">
      <alignment horizontal="center" vertical="center" wrapText="1"/>
      <protection hidden="1"/>
    </xf>
    <xf numFmtId="0" fontId="46" fillId="0" borderId="22" xfId="0" applyFont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horizontal="center" vertical="center" wrapText="1"/>
      <protection hidden="1"/>
    </xf>
    <xf numFmtId="14" fontId="3" fillId="0" borderId="29" xfId="0" applyNumberFormat="1" applyFont="1" applyBorder="1" applyAlignment="1" applyProtection="1">
      <alignment horizontal="center" vertical="center"/>
      <protection hidden="1"/>
    </xf>
    <xf numFmtId="14" fontId="3" fillId="0" borderId="11" xfId="0" applyNumberFormat="1" applyFont="1" applyBorder="1" applyAlignment="1" applyProtection="1">
      <alignment horizontal="center" vertical="center"/>
      <protection hidden="1"/>
    </xf>
    <xf numFmtId="14" fontId="3" fillId="0" borderId="12" xfId="0" applyNumberFormat="1" applyFont="1" applyBorder="1" applyAlignment="1" applyProtection="1">
      <alignment horizontal="center" vertical="center"/>
      <protection hidden="1"/>
    </xf>
    <xf numFmtId="14" fontId="3" fillId="0" borderId="5" xfId="0" applyNumberFormat="1" applyFont="1" applyBorder="1" applyAlignment="1" applyProtection="1">
      <alignment horizontal="center"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14" fontId="3" fillId="0" borderId="10" xfId="0" applyNumberFormat="1" applyFont="1" applyBorder="1" applyAlignment="1" applyProtection="1">
      <alignment horizontal="center" vertical="center"/>
      <protection hidden="1"/>
    </xf>
    <xf numFmtId="14" fontId="3" fillId="0" borderId="45" xfId="0" applyNumberFormat="1" applyFont="1" applyBorder="1" applyAlignment="1" applyProtection="1">
      <alignment horizontal="center" vertical="center"/>
      <protection hidden="1"/>
    </xf>
    <xf numFmtId="14" fontId="3" fillId="0" borderId="27" xfId="0" applyNumberFormat="1" applyFont="1" applyBorder="1" applyAlignment="1" applyProtection="1">
      <alignment horizontal="center" vertical="center"/>
      <protection hidden="1"/>
    </xf>
    <xf numFmtId="14" fontId="3" fillId="0" borderId="41" xfId="0" applyNumberFormat="1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164" fontId="43" fillId="0" borderId="5" xfId="0" applyNumberFormat="1" applyFont="1" applyBorder="1" applyAlignment="1" applyProtection="1">
      <alignment horizontal="left" vertical="center"/>
      <protection hidden="1"/>
    </xf>
    <xf numFmtId="164" fontId="43" fillId="0" borderId="0" xfId="0" applyNumberFormat="1" applyFont="1" applyBorder="1" applyAlignment="1" applyProtection="1">
      <alignment horizontal="left" vertical="center"/>
      <protection hidden="1"/>
    </xf>
    <xf numFmtId="164" fontId="43" fillId="0" borderId="6" xfId="0" applyNumberFormat="1" applyFont="1" applyBorder="1" applyAlignment="1" applyProtection="1">
      <alignment horizontal="left" vertical="center"/>
      <protection hidden="1"/>
    </xf>
    <xf numFmtId="164" fontId="25" fillId="0" borderId="5" xfId="0" applyNumberFormat="1" applyFont="1" applyBorder="1" applyAlignment="1" applyProtection="1">
      <alignment horizontal="left" vertical="center"/>
      <protection hidden="1"/>
    </xf>
    <xf numFmtId="164" fontId="25" fillId="0" borderId="0" xfId="0" applyNumberFormat="1" applyFont="1" applyBorder="1" applyAlignment="1" applyProtection="1">
      <alignment horizontal="left" vertical="center"/>
      <protection hidden="1"/>
    </xf>
    <xf numFmtId="164" fontId="25" fillId="0" borderId="6" xfId="0" applyNumberFormat="1" applyFont="1" applyBorder="1" applyAlignment="1" applyProtection="1">
      <alignment horizontal="left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6" xfId="0" applyFont="1" applyBorder="1" applyAlignment="1" applyProtection="1">
      <alignment horizontal="center" vertical="center" wrapText="1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46" fillId="0" borderId="5" xfId="0" applyFont="1" applyBorder="1" applyAlignment="1" applyProtection="1">
      <alignment horizontal="center" vertical="center" wrapText="1"/>
      <protection hidden="1"/>
    </xf>
    <xf numFmtId="0" fontId="46" fillId="0" borderId="6" xfId="0" applyFont="1" applyBorder="1" applyAlignment="1" applyProtection="1">
      <alignment horizontal="center" vertical="center" wrapText="1"/>
      <protection hidden="1"/>
    </xf>
    <xf numFmtId="0" fontId="46" fillId="0" borderId="17" xfId="0" applyFont="1" applyBorder="1" applyAlignment="1" applyProtection="1">
      <alignment horizontal="center" vertical="center" wrapText="1"/>
      <protection hidden="1"/>
    </xf>
    <xf numFmtId="0" fontId="46" fillId="0" borderId="18" xfId="0" applyFont="1" applyBorder="1" applyAlignment="1" applyProtection="1">
      <alignment horizontal="center" vertical="center" wrapText="1"/>
      <protection hidden="1"/>
    </xf>
    <xf numFmtId="0" fontId="46" fillId="0" borderId="21" xfId="0" applyFont="1" applyBorder="1" applyAlignment="1" applyProtection="1">
      <alignment horizontal="center" vertical="center" wrapText="1"/>
      <protection hidden="1"/>
    </xf>
    <xf numFmtId="14" fontId="3" fillId="0" borderId="7" xfId="0" applyNumberFormat="1" applyFont="1" applyBorder="1" applyAlignment="1" applyProtection="1">
      <alignment horizontal="center" vertical="center"/>
      <protection hidden="1"/>
    </xf>
    <xf numFmtId="14" fontId="3" fillId="0" borderId="9" xfId="0" applyNumberFormat="1" applyFont="1" applyBorder="1" applyAlignment="1" applyProtection="1">
      <alignment horizontal="center" vertical="center"/>
      <protection hidden="1"/>
    </xf>
    <xf numFmtId="14" fontId="3" fillId="0" borderId="6" xfId="0" applyNumberFormat="1" applyFont="1" applyBorder="1" applyAlignment="1" applyProtection="1">
      <alignment horizontal="center" vertical="center"/>
      <protection hidden="1"/>
    </xf>
    <xf numFmtId="14" fontId="3" fillId="0" borderId="28" xfId="0" applyNumberFormat="1" applyFont="1" applyBorder="1" applyAlignment="1" applyProtection="1">
      <alignment horizontal="center" vertical="center"/>
      <protection hidden="1"/>
    </xf>
    <xf numFmtId="164" fontId="45" fillId="0" borderId="5" xfId="0" applyNumberFormat="1" applyFont="1" applyBorder="1" applyAlignment="1" applyProtection="1">
      <alignment horizontal="left" vertical="top"/>
      <protection hidden="1"/>
    </xf>
    <xf numFmtId="164" fontId="45" fillId="0" borderId="0" xfId="0" applyNumberFormat="1" applyFont="1" applyBorder="1" applyAlignment="1" applyProtection="1">
      <alignment horizontal="left" vertical="top"/>
      <protection hidden="1"/>
    </xf>
    <xf numFmtId="164" fontId="45" fillId="0" borderId="6" xfId="0" applyNumberFormat="1" applyFont="1" applyBorder="1" applyAlignment="1" applyProtection="1">
      <alignment horizontal="left" vertical="top"/>
      <protection hidden="1"/>
    </xf>
    <xf numFmtId="164" fontId="45" fillId="0" borderId="17" xfId="0" applyNumberFormat="1" applyFont="1" applyBorder="1" applyAlignment="1" applyProtection="1">
      <alignment horizontal="left" vertical="top"/>
      <protection hidden="1"/>
    </xf>
    <xf numFmtId="164" fontId="45" fillId="0" borderId="18" xfId="0" applyNumberFormat="1" applyFont="1" applyBorder="1" applyAlignment="1" applyProtection="1">
      <alignment horizontal="left" vertical="top"/>
      <protection hidden="1"/>
    </xf>
    <xf numFmtId="164" fontId="45" fillId="0" borderId="21" xfId="0" applyNumberFormat="1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27" xfId="0" applyNumberFormat="1" applyFont="1" applyBorder="1" applyAlignment="1" applyProtection="1">
      <alignment horizontal="left" vertical="center"/>
      <protection locked="0" hidden="1"/>
    </xf>
    <xf numFmtId="164" fontId="13" fillId="0" borderId="28" xfId="0" applyNumberFormat="1" applyFont="1" applyBorder="1" applyAlignment="1" applyProtection="1">
      <alignment horizontal="left" vertical="center"/>
      <protection locked="0" hidden="1"/>
    </xf>
    <xf numFmtId="164" fontId="13" fillId="0" borderId="17" xfId="0" applyNumberFormat="1" applyFont="1" applyBorder="1" applyAlignment="1" applyProtection="1">
      <alignment horizontal="left" vertical="center"/>
      <protection locked="0" hidden="1"/>
    </xf>
    <xf numFmtId="164" fontId="13" fillId="0" borderId="18" xfId="0" applyNumberFormat="1" applyFont="1" applyBorder="1" applyAlignment="1" applyProtection="1">
      <alignment horizontal="left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0" xfId="0" applyNumberFormat="1" applyFont="1" applyBorder="1" applyAlignment="1" applyProtection="1">
      <alignment horizontal="left" vertical="center" wrapText="1"/>
      <protection locked="0"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left" vertical="center"/>
      <protection hidden="1"/>
    </xf>
    <xf numFmtId="0" fontId="3" fillId="0" borderId="27" xfId="0" applyFont="1" applyBorder="1" applyAlignment="1" applyProtection="1">
      <alignment horizontal="left" vertical="center"/>
      <protection hidden="1"/>
    </xf>
    <xf numFmtId="2" fontId="61" fillId="0" borderId="0" xfId="0" applyNumberFormat="1" applyFont="1" applyBorder="1" applyAlignment="1" applyProtection="1">
      <alignment horizontal="center" vertical="center" wrapText="1"/>
      <protection hidden="1"/>
    </xf>
    <xf numFmtId="0" fontId="13" fillId="0" borderId="27" xfId="0" applyFont="1" applyBorder="1" applyAlignment="1" applyProtection="1">
      <alignment horizontal="left" vertical="center"/>
      <protection locked="0"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14" fontId="3" fillId="0" borderId="16" xfId="0" applyNumberFormat="1" applyFont="1" applyBorder="1" applyAlignment="1" applyProtection="1">
      <alignment horizontal="center" vertical="center"/>
      <protection hidden="1"/>
    </xf>
    <xf numFmtId="164" fontId="43" fillId="0" borderId="16" xfId="0" applyNumberFormat="1" applyFont="1" applyBorder="1" applyAlignment="1" applyProtection="1">
      <alignment horizontal="left"/>
      <protection hidden="1"/>
    </xf>
    <xf numFmtId="164" fontId="43" fillId="0" borderId="7" xfId="0" applyNumberFormat="1" applyFont="1" applyBorder="1" applyAlignment="1" applyProtection="1">
      <alignment horizontal="left"/>
      <protection hidden="1"/>
    </xf>
    <xf numFmtId="164" fontId="43" fillId="0" borderId="9" xfId="0" applyNumberFormat="1" applyFont="1" applyBorder="1" applyAlignment="1" applyProtection="1">
      <alignment horizontal="left"/>
      <protection hidden="1"/>
    </xf>
    <xf numFmtId="164" fontId="43" fillId="0" borderId="5" xfId="0" applyNumberFormat="1" applyFont="1" applyBorder="1" applyAlignment="1" applyProtection="1">
      <alignment horizontal="left"/>
      <protection hidden="1"/>
    </xf>
    <xf numFmtId="164" fontId="43" fillId="0" borderId="0" xfId="0" applyNumberFormat="1" applyFont="1" applyBorder="1" applyAlignment="1" applyProtection="1">
      <alignment horizontal="left"/>
      <protection hidden="1"/>
    </xf>
    <xf numFmtId="164" fontId="43" fillId="0" borderId="6" xfId="0" applyNumberFormat="1" applyFont="1" applyBorder="1" applyAlignment="1" applyProtection="1">
      <alignment horizontal="left"/>
      <protection hidden="1"/>
    </xf>
    <xf numFmtId="0" fontId="1" fillId="3" borderId="5" xfId="0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0" borderId="18" xfId="0" applyFont="1" applyBorder="1" applyAlignment="1" applyProtection="1">
      <alignment horizontal="center" vertical="center"/>
      <protection locked="0" hidden="1"/>
    </xf>
    <xf numFmtId="14" fontId="3" fillId="0" borderId="0" xfId="0" applyNumberFormat="1" applyFont="1" applyBorder="1" applyAlignment="1" applyProtection="1">
      <alignment horizontal="center" vertical="center"/>
      <protection locked="0" hidden="1"/>
    </xf>
    <xf numFmtId="14" fontId="3" fillId="0" borderId="27" xfId="0" applyNumberFormat="1" applyFont="1" applyBorder="1" applyAlignment="1" applyProtection="1">
      <alignment horizontal="center" vertical="center"/>
      <protection locked="0" hidden="1"/>
    </xf>
    <xf numFmtId="0" fontId="13" fillId="0" borderId="41" xfId="0" applyFont="1" applyBorder="1" applyAlignment="1" applyProtection="1">
      <alignment horizontal="left" vertical="center"/>
      <protection locked="0" hidden="1"/>
    </xf>
    <xf numFmtId="164" fontId="3" fillId="0" borderId="29" xfId="0" applyNumberFormat="1" applyFont="1" applyBorder="1" applyAlignment="1" applyProtection="1">
      <alignment horizontal="left" vertical="center"/>
      <protection hidden="1"/>
    </xf>
    <xf numFmtId="0" fontId="56" fillId="0" borderId="28" xfId="0" applyFont="1" applyBorder="1" applyAlignment="1" applyProtection="1">
      <alignment horizontal="center" vertical="center"/>
      <protection locked="0" hidden="1"/>
    </xf>
    <xf numFmtId="167" fontId="35" fillId="22" borderId="58" xfId="0" applyNumberFormat="1" applyFont="1" applyFill="1" applyBorder="1" applyAlignment="1" applyProtection="1">
      <alignment horizontal="right" vertical="center"/>
    </xf>
    <xf numFmtId="167" fontId="35" fillId="0" borderId="53" xfId="0" applyNumberFormat="1" applyFont="1" applyFill="1" applyBorder="1" applyAlignment="1" applyProtection="1">
      <alignment horizontal="right" vertical="center"/>
      <protection locked="0"/>
    </xf>
    <xf numFmtId="167" fontId="35" fillId="0" borderId="54" xfId="0" applyNumberFormat="1" applyFont="1" applyFill="1" applyBorder="1" applyAlignment="1" applyProtection="1">
      <alignment horizontal="right" vertical="center"/>
      <protection locked="0"/>
    </xf>
    <xf numFmtId="167" fontId="35" fillId="0" borderId="55" xfId="0" applyNumberFormat="1" applyFont="1" applyFill="1" applyBorder="1" applyAlignment="1" applyProtection="1">
      <alignment horizontal="right" vertical="center"/>
      <protection locked="0"/>
    </xf>
    <xf numFmtId="167" fontId="35" fillId="0" borderId="59" xfId="0" applyNumberFormat="1" applyFont="1" applyFill="1" applyBorder="1" applyAlignment="1" applyProtection="1">
      <alignment horizontal="right" vertical="center"/>
      <protection locked="0"/>
    </xf>
    <xf numFmtId="167" fontId="35" fillId="0" borderId="57" xfId="0" applyNumberFormat="1" applyFont="1" applyFill="1" applyBorder="1" applyAlignment="1" applyProtection="1">
      <alignment horizontal="right" vertical="center"/>
      <protection locked="0"/>
    </xf>
    <xf numFmtId="0" fontId="62" fillId="0" borderId="49" xfId="0" applyNumberFormat="1" applyFont="1" applyFill="1" applyBorder="1" applyAlignment="1" applyProtection="1">
      <alignment horizontal="center" vertical="center"/>
    </xf>
    <xf numFmtId="0" fontId="62" fillId="0" borderId="50" xfId="0" applyNumberFormat="1" applyFont="1" applyFill="1" applyBorder="1" applyAlignment="1" applyProtection="1">
      <alignment horizontal="center" vertical="center"/>
    </xf>
    <xf numFmtId="0" fontId="62" fillId="0" borderId="51" xfId="0" applyNumberFormat="1" applyFont="1" applyFill="1" applyBorder="1" applyAlignment="1" applyProtection="1">
      <alignment horizontal="center" vertical="center"/>
    </xf>
    <xf numFmtId="0" fontId="31" fillId="4" borderId="52" xfId="0" applyFont="1" applyFill="1" applyBorder="1" applyAlignment="1" applyProtection="1">
      <alignment horizontal="center" vertical="center" wrapText="1"/>
    </xf>
    <xf numFmtId="165" fontId="32" fillId="4" borderId="61" xfId="0" applyNumberFormat="1" applyFont="1" applyFill="1" applyBorder="1" applyAlignment="1" applyProtection="1">
      <alignment horizontal="left" vertical="center"/>
    </xf>
    <xf numFmtId="167" fontId="35" fillId="0" borderId="57" xfId="0" applyNumberFormat="1" applyFont="1" applyFill="1" applyBorder="1" applyAlignment="1" applyProtection="1">
      <alignment horizontal="right" vertical="center"/>
    </xf>
    <xf numFmtId="0" fontId="33" fillId="4" borderId="60" xfId="0" applyFont="1" applyFill="1" applyBorder="1" applyAlignment="1" applyProtection="1">
      <alignment horizontal="center" vertical="center"/>
    </xf>
    <xf numFmtId="0" fontId="33" fillId="4" borderId="61" xfId="0" applyFont="1" applyFill="1" applyBorder="1" applyAlignment="1" applyProtection="1">
      <alignment horizontal="center" vertical="center"/>
    </xf>
    <xf numFmtId="0" fontId="31" fillId="4" borderId="61" xfId="0" applyFont="1" applyFill="1" applyBorder="1" applyAlignment="1" applyProtection="1">
      <alignment horizontal="center" vertical="center"/>
    </xf>
    <xf numFmtId="0" fontId="31" fillId="4" borderId="62" xfId="0" applyFont="1" applyFill="1" applyBorder="1" applyAlignment="1" applyProtection="1">
      <alignment horizontal="center" vertical="center"/>
    </xf>
    <xf numFmtId="49" fontId="36" fillId="0" borderId="49" xfId="0" applyNumberFormat="1" applyFont="1" applyFill="1" applyBorder="1" applyAlignment="1" applyProtection="1">
      <alignment horizontal="center" vertical="center"/>
      <protection locked="0"/>
    </xf>
    <xf numFmtId="49" fontId="36" fillId="0" borderId="50" xfId="0" applyNumberFormat="1" applyFont="1" applyFill="1" applyBorder="1" applyAlignment="1" applyProtection="1">
      <alignment horizontal="center" vertical="center"/>
      <protection locked="0"/>
    </xf>
    <xf numFmtId="49" fontId="36" fillId="0" borderId="51" xfId="0" applyNumberFormat="1" applyFont="1" applyFill="1" applyBorder="1" applyAlignment="1" applyProtection="1">
      <alignment horizontal="center" vertical="center"/>
      <protection locked="0"/>
    </xf>
    <xf numFmtId="0" fontId="33" fillId="4" borderId="60" xfId="0" applyFont="1" applyFill="1" applyBorder="1" applyAlignment="1" applyProtection="1">
      <alignment horizontal="center" vertical="center" wrapText="1"/>
    </xf>
    <xf numFmtId="0" fontId="33" fillId="4" borderId="61" xfId="0" applyFont="1" applyFill="1" applyBorder="1" applyAlignment="1" applyProtection="1">
      <alignment horizontal="center" vertical="center" wrapText="1"/>
    </xf>
    <xf numFmtId="0" fontId="33" fillId="4" borderId="62" xfId="0" applyFont="1" applyFill="1" applyBorder="1" applyAlignment="1" applyProtection="1">
      <alignment horizontal="center" vertical="center" wrapText="1"/>
    </xf>
    <xf numFmtId="167" fontId="35" fillId="0" borderId="58" xfId="0" applyNumberFormat="1" applyFont="1" applyFill="1" applyBorder="1" applyAlignment="1" applyProtection="1">
      <alignment horizontal="right" vertical="center"/>
      <protection locked="0"/>
    </xf>
    <xf numFmtId="0" fontId="29" fillId="4" borderId="56" xfId="0" applyFont="1" applyFill="1" applyBorder="1" applyAlignment="1" applyProtection="1">
      <alignment horizontal="center" vertical="center" textRotation="90"/>
    </xf>
    <xf numFmtId="0" fontId="5" fillId="12" borderId="13" xfId="0" applyFont="1" applyFill="1" applyBorder="1" applyAlignment="1" applyProtection="1">
      <alignment horizontal="left" vertical="center" wrapText="1"/>
    </xf>
    <xf numFmtId="0" fontId="5" fillId="12" borderId="11" xfId="0" applyFont="1" applyFill="1" applyBorder="1" applyAlignment="1" applyProtection="1">
      <alignment horizontal="left" vertical="center" wrapText="1"/>
    </xf>
    <xf numFmtId="0" fontId="5" fillId="12" borderId="63" xfId="0" applyFont="1" applyFill="1" applyBorder="1" applyAlignment="1" applyProtection="1">
      <alignment horizontal="left" vertical="center" wrapText="1"/>
    </xf>
    <xf numFmtId="0" fontId="5" fillId="12" borderId="64" xfId="0" applyFont="1" applyFill="1" applyBorder="1" applyAlignment="1" applyProtection="1">
      <alignment horizontal="left" vertical="center" wrapText="1"/>
    </xf>
    <xf numFmtId="0" fontId="5" fillId="12" borderId="65" xfId="0" applyFont="1" applyFill="1" applyBorder="1" applyAlignment="1" applyProtection="1">
      <alignment horizontal="left" vertical="center" wrapText="1"/>
    </xf>
    <xf numFmtId="0" fontId="5" fillId="12" borderId="66" xfId="0" applyFont="1" applyFill="1" applyBorder="1" applyAlignment="1" applyProtection="1">
      <alignment horizontal="left" vertical="center" wrapText="1"/>
    </xf>
    <xf numFmtId="0" fontId="18" fillId="3" borderId="67" xfId="0" applyFont="1" applyFill="1" applyBorder="1" applyAlignment="1" applyProtection="1">
      <alignment horizontal="center" vertical="center"/>
    </xf>
    <xf numFmtId="0" fontId="18" fillId="3" borderId="68" xfId="0" applyFont="1" applyFill="1" applyBorder="1" applyAlignment="1" applyProtection="1">
      <alignment horizontal="center" vertical="center"/>
    </xf>
    <xf numFmtId="0" fontId="11" fillId="13" borderId="16" xfId="0" applyFont="1" applyFill="1" applyBorder="1" applyAlignment="1" applyProtection="1">
      <alignment horizontal="center" vertical="center"/>
    </xf>
    <xf numFmtId="0" fontId="7" fillId="13" borderId="7" xfId="0" applyFont="1" applyFill="1" applyBorder="1" applyAlignment="1" applyProtection="1">
      <alignment horizontal="center" vertical="center"/>
    </xf>
    <xf numFmtId="0" fontId="7" fillId="13" borderId="9" xfId="0" applyFont="1" applyFill="1" applyBorder="1" applyAlignment="1" applyProtection="1">
      <alignment horizontal="center" vertical="center"/>
    </xf>
    <xf numFmtId="0" fontId="22" fillId="14" borderId="16" xfId="0" applyFont="1" applyFill="1" applyBorder="1" applyAlignment="1" applyProtection="1">
      <alignment horizontal="center" vertical="center"/>
    </xf>
    <xf numFmtId="0" fontId="22" fillId="14" borderId="7" xfId="0" applyFont="1" applyFill="1" applyBorder="1" applyAlignment="1" applyProtection="1">
      <alignment horizontal="center" vertical="center"/>
    </xf>
    <xf numFmtId="0" fontId="22" fillId="14" borderId="9" xfId="0" applyFont="1" applyFill="1" applyBorder="1" applyAlignment="1" applyProtection="1">
      <alignment horizontal="center" vertical="center"/>
    </xf>
    <xf numFmtId="0" fontId="11" fillId="13" borderId="35" xfId="0" applyFont="1" applyFill="1" applyBorder="1" applyAlignment="1" applyProtection="1">
      <alignment horizontal="center" vertical="center"/>
    </xf>
    <xf numFmtId="0" fontId="7" fillId="13" borderId="35" xfId="0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5" fillId="15" borderId="18" xfId="0" applyFont="1" applyFill="1" applyBorder="1" applyAlignment="1" applyProtection="1">
      <alignment horizontal="center" vertical="center" wrapText="1"/>
    </xf>
    <xf numFmtId="0" fontId="12" fillId="4" borderId="60" xfId="0" applyFont="1" applyFill="1" applyBorder="1" applyAlignment="1" applyProtection="1">
      <alignment horizontal="center" vertical="center"/>
    </xf>
    <xf numFmtId="0" fontId="12" fillId="4" borderId="61" xfId="0" applyFont="1" applyFill="1" applyBorder="1" applyAlignment="1" applyProtection="1">
      <alignment horizontal="center" vertical="center"/>
    </xf>
    <xf numFmtId="0" fontId="12" fillId="4" borderId="62" xfId="0" applyFont="1" applyFill="1" applyBorder="1" applyAlignment="1" applyProtection="1">
      <alignment horizontal="center" vertical="center"/>
    </xf>
    <xf numFmtId="0" fontId="29" fillId="4" borderId="1" xfId="0" applyFont="1" applyFill="1" applyBorder="1" applyAlignment="1" applyProtection="1">
      <alignment horizontal="center" vertical="center" textRotation="90"/>
    </xf>
    <xf numFmtId="0" fontId="27" fillId="0" borderId="1" xfId="0" applyNumberFormat="1" applyFont="1" applyFill="1" applyBorder="1" applyAlignment="1" applyProtection="1">
      <alignment horizontal="left" vertical="center"/>
      <protection locked="0"/>
    </xf>
    <xf numFmtId="0" fontId="27" fillId="0" borderId="1" xfId="0" applyNumberFormat="1" applyFont="1" applyFill="1" applyBorder="1" applyAlignment="1" applyProtection="1">
      <alignment horizontal="left" vertical="center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18" xfId="0" applyFont="1" applyFill="1" applyBorder="1" applyAlignment="1" applyProtection="1">
      <alignment horizontal="center" vertical="center" wrapText="1"/>
    </xf>
    <xf numFmtId="0" fontId="19" fillId="3" borderId="21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2" fillId="4" borderId="69" xfId="0" applyFont="1" applyFill="1" applyBorder="1" applyAlignment="1" applyProtection="1">
      <alignment horizontal="center" vertical="center"/>
    </xf>
    <xf numFmtId="0" fontId="12" fillId="4" borderId="22" xfId="0" applyFont="1" applyFill="1" applyBorder="1" applyAlignment="1" applyProtection="1">
      <alignment horizontal="center" vertical="center"/>
    </xf>
    <xf numFmtId="0" fontId="12" fillId="4" borderId="70" xfId="0" applyFont="1" applyFill="1" applyBorder="1" applyAlignment="1" applyProtection="1">
      <alignment horizontal="center" vertical="center"/>
    </xf>
    <xf numFmtId="0" fontId="5" fillId="12" borderId="26" xfId="0" applyFont="1" applyFill="1" applyBorder="1" applyAlignment="1" applyProtection="1">
      <alignment horizontal="left" vertical="center" wrapText="1"/>
    </xf>
    <xf numFmtId="0" fontId="5" fillId="12" borderId="27" xfId="0" applyFont="1" applyFill="1" applyBorder="1" applyAlignment="1" applyProtection="1">
      <alignment horizontal="left" vertical="center" wrapText="1"/>
    </xf>
    <xf numFmtId="0" fontId="5" fillId="12" borderId="71" xfId="0" applyFont="1" applyFill="1" applyBorder="1" applyAlignment="1" applyProtection="1">
      <alignment horizontal="left" vertical="center" wrapText="1"/>
    </xf>
    <xf numFmtId="0" fontId="18" fillId="3" borderId="72" xfId="0" applyFont="1" applyFill="1" applyBorder="1" applyAlignment="1" applyProtection="1">
      <alignment horizontal="center" vertical="center"/>
    </xf>
    <xf numFmtId="0" fontId="5" fillId="12" borderId="24" xfId="0" applyFont="1" applyFill="1" applyBorder="1" applyAlignment="1" applyProtection="1">
      <alignment horizontal="left" vertical="center" wrapText="1"/>
    </xf>
    <xf numFmtId="0" fontId="5" fillId="12" borderId="7" xfId="0" applyFont="1" applyFill="1" applyBorder="1" applyAlignment="1" applyProtection="1">
      <alignment horizontal="left" vertical="center" wrapText="1"/>
    </xf>
    <xf numFmtId="0" fontId="5" fillId="12" borderId="73" xfId="0" applyFont="1" applyFill="1" applyBorder="1" applyAlignment="1" applyProtection="1">
      <alignment horizontal="left" vertical="center" wrapText="1"/>
    </xf>
    <xf numFmtId="0" fontId="18" fillId="3" borderId="74" xfId="0" applyFont="1" applyFill="1" applyBorder="1" applyAlignment="1" applyProtection="1">
      <alignment horizontal="center" vertical="center"/>
    </xf>
    <xf numFmtId="165" fontId="29" fillId="9" borderId="1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9" fillId="9" borderId="42" xfId="0" applyFont="1" applyFill="1" applyBorder="1" applyAlignment="1">
      <alignment horizontal="center" vertical="center"/>
    </xf>
    <xf numFmtId="0" fontId="29" fillId="9" borderId="43" xfId="0" applyFont="1" applyFill="1" applyBorder="1" applyAlignment="1">
      <alignment horizontal="center" vertical="center"/>
    </xf>
    <xf numFmtId="0" fontId="29" fillId="9" borderId="44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/>
    </xf>
    <xf numFmtId="0" fontId="24" fillId="16" borderId="42" xfId="0" applyFont="1" applyFill="1" applyBorder="1" applyAlignment="1">
      <alignment horizontal="center" vertical="center"/>
    </xf>
    <xf numFmtId="0" fontId="24" fillId="16" borderId="44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" xfId="0" applyNumberFormat="1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/>
    </xf>
    <xf numFmtId="0" fontId="54" fillId="8" borderId="35" xfId="0" applyFont="1" applyFill="1" applyBorder="1" applyAlignment="1">
      <alignment horizontal="center" vertical="center" wrapText="1"/>
    </xf>
    <xf numFmtId="0" fontId="55" fillId="8" borderId="39" xfId="0" applyFont="1" applyFill="1" applyBorder="1" applyAlignment="1">
      <alignment wrapText="1"/>
    </xf>
    <xf numFmtId="0" fontId="54" fillId="8" borderId="1" xfId="0" applyFont="1" applyFill="1" applyBorder="1" applyAlignment="1">
      <alignment horizontal="center" vertical="center" wrapText="1"/>
    </xf>
    <xf numFmtId="0" fontId="55" fillId="8" borderId="35" xfId="0" applyFont="1" applyFill="1" applyBorder="1" applyAlignment="1"/>
    <xf numFmtId="0" fontId="54" fillId="8" borderId="35" xfId="0" applyFont="1" applyFill="1" applyBorder="1" applyAlignment="1">
      <alignment horizontal="center" vertical="center"/>
    </xf>
    <xf numFmtId="0" fontId="54" fillId="8" borderId="39" xfId="0" applyFont="1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54" fillId="8" borderId="46" xfId="0" applyFont="1" applyFill="1" applyBorder="1" applyAlignment="1">
      <alignment horizontal="center" vertical="center"/>
    </xf>
    <xf numFmtId="0" fontId="0" fillId="0" borderId="46" xfId="0" applyBorder="1" applyAlignment="1"/>
    <xf numFmtId="0" fontId="55" fillId="0" borderId="1" xfId="0" applyNumberFormat="1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55" fillId="0" borderId="35" xfId="0" applyFont="1" applyFill="1" applyBorder="1" applyAlignment="1">
      <alignment horizontal="left" vertical="center"/>
    </xf>
    <xf numFmtId="0" fontId="55" fillId="0" borderId="39" xfId="0" applyFont="1" applyFill="1" applyBorder="1" applyAlignment="1">
      <alignment horizontal="left" vertical="center"/>
    </xf>
    <xf numFmtId="0" fontId="55" fillId="0" borderId="35" xfId="0" applyNumberFormat="1" applyFont="1" applyFill="1" applyBorder="1" applyAlignment="1" applyProtection="1">
      <alignment horizontal="center" vertical="center" wrapText="1"/>
    </xf>
    <xf numFmtId="0" fontId="55" fillId="0" borderId="39" xfId="0" applyNumberFormat="1" applyFont="1" applyFill="1" applyBorder="1" applyAlignment="1" applyProtection="1">
      <alignment horizontal="center" vertical="center" wrapText="1"/>
    </xf>
    <xf numFmtId="0" fontId="55" fillId="0" borderId="35" xfId="0" applyNumberFormat="1" applyFont="1" applyFill="1" applyBorder="1" applyAlignment="1">
      <alignment horizontal="center" vertical="center"/>
    </xf>
    <xf numFmtId="0" fontId="55" fillId="0" borderId="39" xfId="0" applyNumberFormat="1" applyFont="1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54" fillId="21" borderId="35" xfId="0" applyFont="1" applyFill="1" applyBorder="1" applyAlignment="1">
      <alignment horizontal="center" vertical="center"/>
    </xf>
    <xf numFmtId="0" fontId="54" fillId="21" borderId="39" xfId="0" applyFont="1" applyFill="1" applyBorder="1" applyAlignment="1">
      <alignment horizontal="center" vertical="center"/>
    </xf>
    <xf numFmtId="0" fontId="0" fillId="21" borderId="46" xfId="0" applyFill="1" applyBorder="1" applyAlignment="1">
      <alignment horizontal="center" vertical="center"/>
    </xf>
    <xf numFmtId="0" fontId="54" fillId="8" borderId="1" xfId="0" applyFont="1" applyFill="1" applyBorder="1" applyAlignment="1">
      <alignment horizontal="center" vertical="center"/>
    </xf>
    <xf numFmtId="0" fontId="55" fillId="8" borderId="35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85"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</font>
      <fill>
        <patternFill patternType="lightUp"/>
      </fill>
    </dxf>
    <dxf>
      <font>
        <b val="0"/>
        <i val="0"/>
        <strike val="0"/>
      </font>
      <fill>
        <patternFill patternType="lightUp"/>
      </fill>
    </dxf>
    <dxf>
      <font>
        <b val="0"/>
        <i val="0"/>
        <strike val="0"/>
      </font>
      <fill>
        <patternFill patternType="lightUp"/>
      </fill>
    </dxf>
    <dxf>
      <font>
        <b val="0"/>
        <i val="0"/>
        <strike val="0"/>
      </font>
      <fill>
        <patternFill patternType="lightUp"/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i val="0"/>
        <strike val="0"/>
      </font>
      <fill>
        <patternFill patternType="lightUp"/>
      </fill>
    </dxf>
    <dxf>
      <font>
        <b val="0"/>
        <i val="0"/>
        <strike val="0"/>
      </font>
      <fill>
        <patternFill patternType="lightUp"/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 patternType="lightUp">
          <bgColor indexed="9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 patternType="lightUp"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 patternType="lightUp"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gray125"/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strike val="0"/>
      </font>
      <numFmt numFmtId="0" formatCode="General"/>
    </dxf>
    <dxf>
      <font>
        <b/>
        <i val="0"/>
        <strike val="0"/>
      </font>
      <fill>
        <patternFill>
          <bgColor theme="9" tint="-0.24994659260841701"/>
        </patternFill>
      </fill>
    </dxf>
    <dxf>
      <font>
        <strike val="0"/>
      </font>
      <fill>
        <patternFill>
          <bgColor theme="9" tint="-0.24994659260841701"/>
        </patternFill>
      </fill>
    </dxf>
    <dxf>
      <font>
        <strike val="0"/>
      </font>
      <numFmt numFmtId="0" formatCode="General"/>
      <fill>
        <patternFill>
          <bgColor theme="3" tint="0.59996337778862885"/>
        </patternFill>
      </fill>
    </dxf>
    <dxf>
      <font>
        <strike val="0"/>
      </font>
      <numFmt numFmtId="0" formatCode="General"/>
      <fill>
        <patternFill>
          <bgColor theme="3" tint="0.59996337778862885"/>
        </patternFill>
      </fill>
    </dxf>
    <dxf>
      <font>
        <strike val="0"/>
      </font>
      <numFmt numFmtId="0" formatCode="General"/>
      <fill>
        <patternFill>
          <bgColor theme="3" tint="0.59996337778862885"/>
        </patternFill>
      </fill>
    </dxf>
    <dxf>
      <font>
        <condense val="0"/>
        <extend val="0"/>
        <color auto="1"/>
      </font>
      <fill>
        <patternFill patternType="solid">
          <bgColor theme="3" tint="0.59996337778862885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26"/>
      </font>
      <fill>
        <patternFill>
          <bgColor indexed="43"/>
        </patternFill>
      </fill>
    </dxf>
    <dxf>
      <font>
        <color rgb="FFFFFF99"/>
      </font>
      <fill>
        <patternFill patternType="solid">
          <fgColor indexed="64"/>
          <bgColor rgb="FFFFFF99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</font>
      <fill>
        <patternFill patternType="lightUp"/>
      </fill>
    </dxf>
    <dxf>
      <font>
        <b val="0"/>
        <i val="0"/>
        <strike val="0"/>
      </font>
      <fill>
        <patternFill patternType="lightUp"/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' Datos de Organizadores '!#REF!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Drop" dropLines="7" dropStyle="combo" dx="22" fmlaLink="' Datos de Organizadores '!$R$4" fmlaRange="' Datos de Organizadores '!$B$142:$B$148" noThreeD="1" sel="7" val="0"/>
</file>

<file path=xl/ctrlProps/ctrlProp16.xml><?xml version="1.0" encoding="utf-8"?>
<formControlPr xmlns="http://schemas.microsoft.com/office/spreadsheetml/2009/9/main" objectType="Drop" dropLines="12" dropStyle="combo" dx="22" fmlaLink="Indice_CCAA_Concursante" fmlaRange="' Datos de Organizadores '!$H$110:$H$129" noThreeD="1" sel="1" val="0"/>
</file>

<file path=xl/ctrlProps/ctrlProp17.xml><?xml version="1.0" encoding="utf-8"?>
<formControlPr xmlns="http://schemas.microsoft.com/office/spreadsheetml/2009/9/main" objectType="Drop" dropLines="12" dropStyle="combo" dx="22" fmlaLink="Indice_CCAA_Piloto" fmlaRange="' Datos de Organizadores '!$K$110:$K$129" noThreeD="1" sel="1" val="0"/>
</file>

<file path=xl/ctrlProps/ctrlProp18.xml><?xml version="1.0" encoding="utf-8"?>
<formControlPr xmlns="http://schemas.microsoft.com/office/spreadsheetml/2009/9/main" objectType="Drop" dropLines="12" dropStyle="combo" dx="22" fmlaLink="Indice_CCAA_Copiloto" fmlaRange="' Datos de Organizadores '!$N$110:$N$129" noThreeD="1" sel="1" val="0"/>
</file>

<file path=xl/ctrlProps/ctrlProp19.xml><?xml version="1.0" encoding="utf-8"?>
<formControlPr xmlns="http://schemas.microsoft.com/office/spreadsheetml/2009/9/main" objectType="Drop" dropLines="12" dropStyle="combo" dx="22" fmlaLink="Indice_Pais_Concursante" fmlaRange="' Datos de Organizadores '!$G$133:$G$320" noThreeD="1" sel="62" val="55"/>
</file>

<file path=xl/ctrlProps/ctrlProp2.xml><?xml version="1.0" encoding="utf-8"?>
<formControlPr xmlns="http://schemas.microsoft.com/office/spreadsheetml/2009/9/main" objectType="Drop" dropLines="11" dropStyle="combo" dx="22" fmlaLink="' Derechos de Inscripción '!$C$16" fmlaRange="' Datos de Organizadores '!$B$3:$K$11" noThreeD="1" sel="6" val="0"/>
</file>

<file path=xl/ctrlProps/ctrlProp20.xml><?xml version="1.0" encoding="utf-8"?>
<formControlPr xmlns="http://schemas.microsoft.com/office/spreadsheetml/2009/9/main" objectType="Drop" dropLines="12" dropStyle="combo" dx="22" fmlaLink="Indice_Pais_Piloto" fmlaRange="' Datos de Organizadores '!$G$133:$G$320" noThreeD="1" sel="62" val="61"/>
</file>

<file path=xl/ctrlProps/ctrlProp21.xml><?xml version="1.0" encoding="utf-8"?>
<formControlPr xmlns="http://schemas.microsoft.com/office/spreadsheetml/2009/9/main" objectType="Drop" dropLines="12" dropStyle="combo" dx="22" fmlaLink="Indice_Pais_Copiloto" fmlaRange="' Datos de Organizadores '!$G$133:$G$320" noThreeD="1" sel="62" val="6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checked="Checked" firstButton="1" fmlaLink="' Datos de Organizadores '!$R$10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fmlaLink="' Datos de Organizadores '!$R$25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Drop" dropLines="11" dropStyle="combo" dx="22" fmlaLink="' Derechos de Inscripción '!$C$16" fmlaRange="' Datos de Organizadores '!$B$6:$K$11" sel="6" val="0"/>
</file>

<file path=xl/ctrlProps/ctrlProp3.xml><?xml version="1.0" encoding="utf-8"?>
<formControlPr xmlns="http://schemas.microsoft.com/office/spreadsheetml/2009/9/main" objectType="CheckBox" fmlaLink="Auxiliar" lockText="1" noThreeD="1"/>
</file>

<file path=xl/ctrlProps/ctrlProp4.xml><?xml version="1.0" encoding="utf-8"?>
<formControlPr xmlns="http://schemas.microsoft.com/office/spreadsheetml/2009/9/main" objectType="Radio" checked="Checked" firstButton="1" fmlaLink="Publicida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firstButton="1" fmlaLink="Turb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Drop" dropLines="10" dropStyle="combo" dx="22" fmlaLink="' Datos de Organizadores '!$C$14" fmlaRange="' Datos de Organizadores '!$B$13:$B$22" noThreeD="1" sel="1" val="0"/>
</file>

<file path=xl/ctrlProps/ctrlProp9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100</xdr:row>
      <xdr:rowOff>171450</xdr:rowOff>
    </xdr:from>
    <xdr:to>
      <xdr:col>2</xdr:col>
      <xdr:colOff>285750</xdr:colOff>
      <xdr:row>100</xdr:row>
      <xdr:rowOff>180975</xdr:rowOff>
    </xdr:to>
    <xdr:sp macro="" textlink="">
      <xdr:nvSpPr>
        <xdr:cNvPr id="23089" name="Line 198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>
          <a:spLocks noChangeShapeType="1"/>
        </xdr:cNvSpPr>
      </xdr:nvSpPr>
      <xdr:spPr bwMode="auto">
        <a:xfrm>
          <a:off x="657225" y="14154150"/>
          <a:ext cx="247650" cy="9525"/>
        </a:xfrm>
        <a:prstGeom prst="line">
          <a:avLst/>
        </a:prstGeom>
        <a:noFill/>
        <a:ln w="5715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100</xdr:row>
      <xdr:rowOff>161925</xdr:rowOff>
    </xdr:from>
    <xdr:to>
      <xdr:col>2</xdr:col>
      <xdr:colOff>285750</xdr:colOff>
      <xdr:row>104</xdr:row>
      <xdr:rowOff>19050</xdr:rowOff>
    </xdr:to>
    <xdr:sp macro="" textlink="">
      <xdr:nvSpPr>
        <xdr:cNvPr id="23090" name="Line 199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>
          <a:spLocks noChangeShapeType="1"/>
        </xdr:cNvSpPr>
      </xdr:nvSpPr>
      <xdr:spPr bwMode="auto">
        <a:xfrm>
          <a:off x="904875" y="14144625"/>
          <a:ext cx="0" cy="485775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101</xdr:row>
      <xdr:rowOff>0</xdr:rowOff>
    </xdr:from>
    <xdr:to>
      <xdr:col>2</xdr:col>
      <xdr:colOff>38100</xdr:colOff>
      <xdr:row>104</xdr:row>
      <xdr:rowOff>19050</xdr:rowOff>
    </xdr:to>
    <xdr:sp macro="" textlink="">
      <xdr:nvSpPr>
        <xdr:cNvPr id="23091" name="Line 200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>
          <a:spLocks noChangeShapeType="1"/>
        </xdr:cNvSpPr>
      </xdr:nvSpPr>
      <xdr:spPr bwMode="auto">
        <a:xfrm>
          <a:off x="657225" y="14173200"/>
          <a:ext cx="0" cy="45720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100</xdr:row>
      <xdr:rowOff>180975</xdr:rowOff>
    </xdr:from>
    <xdr:to>
      <xdr:col>2</xdr:col>
      <xdr:colOff>295275</xdr:colOff>
      <xdr:row>104</xdr:row>
      <xdr:rowOff>9525</xdr:rowOff>
    </xdr:to>
    <xdr:sp macro="" textlink="">
      <xdr:nvSpPr>
        <xdr:cNvPr id="23092" name="Rectangle 317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>
          <a:spLocks noChangeArrowheads="1"/>
        </xdr:cNvSpPr>
      </xdr:nvSpPr>
      <xdr:spPr bwMode="auto">
        <a:xfrm>
          <a:off x="657225" y="14163675"/>
          <a:ext cx="257175" cy="457200"/>
        </a:xfrm>
        <a:prstGeom prst="rect">
          <a:avLst/>
        </a:prstGeom>
        <a:noFill/>
        <a:ln w="127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101</xdr:row>
      <xdr:rowOff>0</xdr:rowOff>
    </xdr:from>
    <xdr:to>
      <xdr:col>2</xdr:col>
      <xdr:colOff>285750</xdr:colOff>
      <xdr:row>104</xdr:row>
      <xdr:rowOff>0</xdr:rowOff>
    </xdr:to>
    <xdr:sp macro="" textlink="">
      <xdr:nvSpPr>
        <xdr:cNvPr id="23093" name="Rectangle 349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>
          <a:spLocks noChangeArrowheads="1"/>
        </xdr:cNvSpPr>
      </xdr:nvSpPr>
      <xdr:spPr bwMode="auto">
        <a:xfrm>
          <a:off x="657225" y="14173200"/>
          <a:ext cx="247650" cy="438150"/>
        </a:xfrm>
        <a:prstGeom prst="rect">
          <a:avLst/>
        </a:prstGeom>
        <a:noFill/>
        <a:ln w="1905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100</xdr:row>
      <xdr:rowOff>180975</xdr:rowOff>
    </xdr:from>
    <xdr:to>
      <xdr:col>2</xdr:col>
      <xdr:colOff>285750</xdr:colOff>
      <xdr:row>104</xdr:row>
      <xdr:rowOff>0</xdr:rowOff>
    </xdr:to>
    <xdr:sp macro="" textlink="">
      <xdr:nvSpPr>
        <xdr:cNvPr id="23094" name="Rectangle 810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>
          <a:spLocks noChangeArrowheads="1"/>
        </xdr:cNvSpPr>
      </xdr:nvSpPr>
      <xdr:spPr bwMode="auto">
        <a:xfrm>
          <a:off x="657225" y="14163675"/>
          <a:ext cx="247650" cy="447675"/>
        </a:xfrm>
        <a:prstGeom prst="rect">
          <a:avLst/>
        </a:prstGeom>
        <a:noFill/>
        <a:ln w="1587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152400</xdr:colOff>
      <xdr:row>12</xdr:row>
      <xdr:rowOff>28575</xdr:rowOff>
    </xdr:from>
    <xdr:to>
      <xdr:col>9</xdr:col>
      <xdr:colOff>114300</xdr:colOff>
      <xdr:row>15</xdr:row>
      <xdr:rowOff>9525</xdr:rowOff>
    </xdr:to>
    <xdr:pic>
      <xdr:nvPicPr>
        <xdr:cNvPr id="23095" name="Picture 980">
          <a:extLst>
            <a:ext uri="{FF2B5EF4-FFF2-40B4-BE49-F238E27FC236}">
              <a16:creationId xmlns:a16="http://schemas.microsoft.com/office/drawing/2014/main" id="{00000000-0008-0000-0000-0000375A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1485900"/>
          <a:ext cx="8763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100</xdr:row>
      <xdr:rowOff>180975</xdr:rowOff>
    </xdr:from>
    <xdr:to>
      <xdr:col>2</xdr:col>
      <xdr:colOff>285750</xdr:colOff>
      <xdr:row>104</xdr:row>
      <xdr:rowOff>0</xdr:rowOff>
    </xdr:to>
    <xdr:sp macro="" textlink="">
      <xdr:nvSpPr>
        <xdr:cNvPr id="23096" name="Rectangle 982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>
          <a:spLocks noChangeArrowheads="1"/>
        </xdr:cNvSpPr>
      </xdr:nvSpPr>
      <xdr:spPr bwMode="auto">
        <a:xfrm>
          <a:off x="657225" y="14163675"/>
          <a:ext cx="247650" cy="447675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91</xdr:row>
          <xdr:rowOff>0</xdr:rowOff>
        </xdr:from>
        <xdr:to>
          <xdr:col>10</xdr:col>
          <xdr:colOff>38100</xdr:colOff>
          <xdr:row>92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</xdr:row>
          <xdr:rowOff>28575</xdr:rowOff>
        </xdr:from>
        <xdr:to>
          <xdr:col>32</xdr:col>
          <xdr:colOff>142875</xdr:colOff>
          <xdr:row>9</xdr:row>
          <xdr:rowOff>104775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91</xdr:row>
          <xdr:rowOff>0</xdr:rowOff>
        </xdr:from>
        <xdr:to>
          <xdr:col>10</xdr:col>
          <xdr:colOff>38100</xdr:colOff>
          <xdr:row>92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100</xdr:row>
          <xdr:rowOff>180975</xdr:rowOff>
        </xdr:from>
        <xdr:to>
          <xdr:col>2</xdr:col>
          <xdr:colOff>285750</xdr:colOff>
          <xdr:row>104</xdr:row>
          <xdr:rowOff>0</xdr:rowOff>
        </xdr:to>
        <xdr:grpSp>
          <xdr:nvGrpSpPr>
            <xdr:cNvPr id="23097" name="Group 117">
              <a:extLst>
                <a:ext uri="{FF2B5EF4-FFF2-40B4-BE49-F238E27FC236}">
                  <a16:creationId xmlns:a16="http://schemas.microsoft.com/office/drawing/2014/main" id="{00000000-0008-0000-0000-0000395A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62940" y="14201775"/>
              <a:ext cx="247650" cy="443865"/>
              <a:chOff x="69" y="1435"/>
              <a:chExt cx="26" cy="46"/>
            </a:xfrm>
          </xdr:grpSpPr>
          <xdr:sp macro="" textlink="">
            <xdr:nvSpPr>
              <xdr:cNvPr id="1088" name="Group Box 64" hidden="1">
                <a:extLst>
                  <a:ext uri="{63B3BB69-23CF-44E3-9099-C40C66FF867C}">
                    <a14:compatExt spid="_x0000_s1088"/>
                  </a:ext>
                  <a:ext uri="{FF2B5EF4-FFF2-40B4-BE49-F238E27FC236}">
                    <a16:creationId xmlns:a16="http://schemas.microsoft.com/office/drawing/2014/main" id="{00000000-0008-0000-0000-000040040000}"/>
                  </a:ext>
                </a:extLst>
              </xdr:cNvPr>
              <xdr:cNvSpPr/>
            </xdr:nvSpPr>
            <xdr:spPr bwMode="auto">
              <a:xfrm>
                <a:off x="69" y="1435"/>
                <a:ext cx="26" cy="4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9" name="Option Button 65" hidden="1">
                <a:extLst>
                  <a:ext uri="{63B3BB69-23CF-44E3-9099-C40C66FF867C}">
                    <a14:compatExt spid="_x0000_s1089"/>
                  </a:ex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/>
            </xdr:nvSpPr>
            <xdr:spPr bwMode="auto">
              <a:xfrm>
                <a:off x="72" y="1438"/>
                <a:ext cx="22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0" name="Option Button 66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000-000042040000}"/>
                  </a:ext>
                </a:extLst>
              </xdr:cNvPr>
              <xdr:cNvSpPr/>
            </xdr:nvSpPr>
            <xdr:spPr bwMode="auto">
              <a:xfrm>
                <a:off x="72" y="1457"/>
                <a:ext cx="22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91</xdr:row>
          <xdr:rowOff>0</xdr:rowOff>
        </xdr:from>
        <xdr:to>
          <xdr:col>2</xdr:col>
          <xdr:colOff>285750</xdr:colOff>
          <xdr:row>92</xdr:row>
          <xdr:rowOff>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92</xdr:row>
          <xdr:rowOff>9525</xdr:rowOff>
        </xdr:from>
        <xdr:to>
          <xdr:col>2</xdr:col>
          <xdr:colOff>285750</xdr:colOff>
          <xdr:row>93</xdr:row>
          <xdr:rowOff>161925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180975</xdr:colOff>
          <xdr:row>71</xdr:row>
          <xdr:rowOff>95250</xdr:rowOff>
        </xdr:from>
        <xdr:to>
          <xdr:col>7</xdr:col>
          <xdr:colOff>295275</xdr:colOff>
          <xdr:row>73</xdr:row>
          <xdr:rowOff>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285750</xdr:colOff>
          <xdr:row>71</xdr:row>
          <xdr:rowOff>95250</xdr:rowOff>
        </xdr:from>
        <xdr:to>
          <xdr:col>9</xdr:col>
          <xdr:colOff>200025</xdr:colOff>
          <xdr:row>73</xdr:row>
          <xdr:rowOff>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72</xdr:row>
          <xdr:rowOff>133350</xdr:rowOff>
        </xdr:from>
        <xdr:to>
          <xdr:col>32</xdr:col>
          <xdr:colOff>190500</xdr:colOff>
          <xdr:row>74</xdr:row>
          <xdr:rowOff>76200</xdr:rowOff>
        </xdr:to>
        <xdr:sp macro="" textlink="">
          <xdr:nvSpPr>
            <xdr:cNvPr id="1206" name="Drop Down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71</xdr:row>
          <xdr:rowOff>85725</xdr:rowOff>
        </xdr:from>
        <xdr:to>
          <xdr:col>9</xdr:col>
          <xdr:colOff>228600</xdr:colOff>
          <xdr:row>73</xdr:row>
          <xdr:rowOff>28575</xdr:rowOff>
        </xdr:to>
        <xdr:sp macro="" textlink="">
          <xdr:nvSpPr>
            <xdr:cNvPr id="1538" name="Group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53640926-AAD7-44D8-BBD7-CCE9431645EC}">
                <a14:shadowObscured val="1"/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0</xdr:colOff>
          <xdr:row>69</xdr:row>
          <xdr:rowOff>38100</xdr:rowOff>
        </xdr:from>
        <xdr:to>
          <xdr:col>33</xdr:col>
          <xdr:colOff>28575</xdr:colOff>
          <xdr:row>72</xdr:row>
          <xdr:rowOff>47625</xdr:rowOff>
        </xdr:to>
        <xdr:sp macro="" textlink="">
          <xdr:nvSpPr>
            <xdr:cNvPr id="1993" name="Group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72</xdr:row>
          <xdr:rowOff>9525</xdr:rowOff>
        </xdr:from>
        <xdr:to>
          <xdr:col>32</xdr:col>
          <xdr:colOff>209550</xdr:colOff>
          <xdr:row>74</xdr:row>
          <xdr:rowOff>38100</xdr:rowOff>
        </xdr:to>
        <xdr:sp macro="" textlink="">
          <xdr:nvSpPr>
            <xdr:cNvPr id="2006" name="Group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71</xdr:row>
          <xdr:rowOff>66675</xdr:rowOff>
        </xdr:from>
        <xdr:to>
          <xdr:col>9</xdr:col>
          <xdr:colOff>209550</xdr:colOff>
          <xdr:row>73</xdr:row>
          <xdr:rowOff>47625</xdr:rowOff>
        </xdr:to>
        <xdr:sp macro="" textlink="">
          <xdr:nvSpPr>
            <xdr:cNvPr id="2008" name="Group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77</xdr:row>
          <xdr:rowOff>57150</xdr:rowOff>
        </xdr:from>
        <xdr:to>
          <xdr:col>15</xdr:col>
          <xdr:colOff>0</xdr:colOff>
          <xdr:row>79</xdr:row>
          <xdr:rowOff>9525</xdr:rowOff>
        </xdr:to>
        <xdr:sp macro="" textlink="">
          <xdr:nvSpPr>
            <xdr:cNvPr id="2009" name="Group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91</xdr:row>
          <xdr:rowOff>0</xdr:rowOff>
        </xdr:from>
        <xdr:to>
          <xdr:col>3</xdr:col>
          <xdr:colOff>0</xdr:colOff>
          <xdr:row>94</xdr:row>
          <xdr:rowOff>9525</xdr:rowOff>
        </xdr:to>
        <xdr:sp macro="" textlink="">
          <xdr:nvSpPr>
            <xdr:cNvPr id="2012" name="Group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68</xdr:row>
          <xdr:rowOff>114300</xdr:rowOff>
        </xdr:from>
        <xdr:to>
          <xdr:col>32</xdr:col>
          <xdr:colOff>190500</xdr:colOff>
          <xdr:row>70</xdr:row>
          <xdr:rowOff>66675</xdr:rowOff>
        </xdr:to>
        <xdr:sp macro="" textlink="">
          <xdr:nvSpPr>
            <xdr:cNvPr id="5586" name="Drop Down 1490" hidden="1">
              <a:extLst>
                <a:ext uri="{63B3BB69-23CF-44E3-9099-C40C66FF867C}">
                  <a14:compatExt spid="_x0000_s5586"/>
                </a:ext>
                <a:ext uri="{FF2B5EF4-FFF2-40B4-BE49-F238E27FC236}">
                  <a16:creationId xmlns:a16="http://schemas.microsoft.com/office/drawing/2014/main" id="{00000000-0008-0000-0000-0000D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0</xdr:rowOff>
        </xdr:from>
        <xdr:to>
          <xdr:col>12</xdr:col>
          <xdr:colOff>381000</xdr:colOff>
          <xdr:row>46</xdr:row>
          <xdr:rowOff>0</xdr:rowOff>
        </xdr:to>
        <xdr:sp macro="" textlink="">
          <xdr:nvSpPr>
            <xdr:cNvPr id="5588" name="Drop Down 1492" hidden="1">
              <a:extLst>
                <a:ext uri="{63B3BB69-23CF-44E3-9099-C40C66FF867C}">
                  <a14:compatExt spid="_x0000_s5588"/>
                </a:ext>
                <a:ext uri="{FF2B5EF4-FFF2-40B4-BE49-F238E27FC236}">
                  <a16:creationId xmlns:a16="http://schemas.microsoft.com/office/drawing/2014/main" id="{00000000-0008-0000-0000-0000D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12</xdr:col>
          <xdr:colOff>381000</xdr:colOff>
          <xdr:row>54</xdr:row>
          <xdr:rowOff>0</xdr:rowOff>
        </xdr:to>
        <xdr:sp macro="" textlink="">
          <xdr:nvSpPr>
            <xdr:cNvPr id="5590" name="Drop Down 1494" hidden="1">
              <a:extLst>
                <a:ext uri="{63B3BB69-23CF-44E3-9099-C40C66FF867C}">
                  <a14:compatExt spid="_x0000_s5590"/>
                </a:ext>
                <a:ext uri="{FF2B5EF4-FFF2-40B4-BE49-F238E27FC236}">
                  <a16:creationId xmlns:a16="http://schemas.microsoft.com/office/drawing/2014/main" id="{00000000-0008-0000-0000-0000D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12</xdr:col>
          <xdr:colOff>381000</xdr:colOff>
          <xdr:row>62</xdr:row>
          <xdr:rowOff>0</xdr:rowOff>
        </xdr:to>
        <xdr:sp macro="" textlink="">
          <xdr:nvSpPr>
            <xdr:cNvPr id="5591" name="Drop Down 1495" hidden="1">
              <a:extLst>
                <a:ext uri="{63B3BB69-23CF-44E3-9099-C40C66FF867C}">
                  <a14:compatExt spid="_x0000_s5591"/>
                </a:ext>
                <a:ext uri="{FF2B5EF4-FFF2-40B4-BE49-F238E27FC236}">
                  <a16:creationId xmlns:a16="http://schemas.microsoft.com/office/drawing/2014/main" id="{00000000-0008-0000-0000-0000D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45</xdr:row>
          <xdr:rowOff>0</xdr:rowOff>
        </xdr:from>
        <xdr:to>
          <xdr:col>21</xdr:col>
          <xdr:colOff>9525</xdr:colOff>
          <xdr:row>46</xdr:row>
          <xdr:rowOff>0</xdr:rowOff>
        </xdr:to>
        <xdr:sp macro="" textlink="">
          <xdr:nvSpPr>
            <xdr:cNvPr id="5592" name="Drop Down 1496" hidden="1">
              <a:extLst>
                <a:ext uri="{63B3BB69-23CF-44E3-9099-C40C66FF867C}">
                  <a14:compatExt spid="_x0000_s5592"/>
                </a:ext>
                <a:ext uri="{FF2B5EF4-FFF2-40B4-BE49-F238E27FC236}">
                  <a16:creationId xmlns:a16="http://schemas.microsoft.com/office/drawing/2014/main" id="{00000000-0008-0000-0000-0000D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</xdr:row>
          <xdr:rowOff>0</xdr:rowOff>
        </xdr:from>
        <xdr:to>
          <xdr:col>21</xdr:col>
          <xdr:colOff>9525</xdr:colOff>
          <xdr:row>54</xdr:row>
          <xdr:rowOff>0</xdr:rowOff>
        </xdr:to>
        <xdr:sp macro="" textlink="">
          <xdr:nvSpPr>
            <xdr:cNvPr id="5593" name="Drop Down 1497" hidden="1">
              <a:extLst>
                <a:ext uri="{63B3BB69-23CF-44E3-9099-C40C66FF867C}">
                  <a14:compatExt spid="_x0000_s5593"/>
                </a:ext>
                <a:ext uri="{FF2B5EF4-FFF2-40B4-BE49-F238E27FC236}">
                  <a16:creationId xmlns:a16="http://schemas.microsoft.com/office/drawing/2014/main" id="{00000000-0008-0000-0000-0000D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61</xdr:row>
          <xdr:rowOff>0</xdr:rowOff>
        </xdr:from>
        <xdr:to>
          <xdr:col>21</xdr:col>
          <xdr:colOff>9525</xdr:colOff>
          <xdr:row>62</xdr:row>
          <xdr:rowOff>0</xdr:rowOff>
        </xdr:to>
        <xdr:sp macro="" textlink="">
          <xdr:nvSpPr>
            <xdr:cNvPr id="5594" name="Drop Down 1498" hidden="1">
              <a:extLst>
                <a:ext uri="{63B3BB69-23CF-44E3-9099-C40C66FF867C}">
                  <a14:compatExt spid="_x0000_s5594"/>
                </a:ext>
                <a:ext uri="{FF2B5EF4-FFF2-40B4-BE49-F238E27FC236}">
                  <a16:creationId xmlns:a16="http://schemas.microsoft.com/office/drawing/2014/main" id="{00000000-0008-0000-0000-0000D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</xdr:row>
          <xdr:rowOff>0</xdr:rowOff>
        </xdr:from>
        <xdr:to>
          <xdr:col>16</xdr:col>
          <xdr:colOff>0</xdr:colOff>
          <xdr:row>76</xdr:row>
          <xdr:rowOff>0</xdr:rowOff>
        </xdr:to>
        <xdr:sp macro="" textlink="">
          <xdr:nvSpPr>
            <xdr:cNvPr id="5596" name="Group Box 1500" hidden="1">
              <a:extLst>
                <a:ext uri="{63B3BB69-23CF-44E3-9099-C40C66FF867C}">
                  <a14:compatExt spid="_x0000_s5596"/>
                </a:ext>
                <a:ext uri="{FF2B5EF4-FFF2-40B4-BE49-F238E27FC236}">
                  <a16:creationId xmlns:a16="http://schemas.microsoft.com/office/drawing/2014/main" id="{00000000-0008-0000-0000-0000D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76</xdr:row>
          <xdr:rowOff>0</xdr:rowOff>
        </xdr:from>
        <xdr:to>
          <xdr:col>16</xdr:col>
          <xdr:colOff>0</xdr:colOff>
          <xdr:row>79</xdr:row>
          <xdr:rowOff>0</xdr:rowOff>
        </xdr:to>
        <xdr:sp macro="" textlink="">
          <xdr:nvSpPr>
            <xdr:cNvPr id="5599" name="Group Box 1503" hidden="1">
              <a:extLst>
                <a:ext uri="{63B3BB69-23CF-44E3-9099-C40C66FF867C}">
                  <a14:compatExt spid="_x0000_s5599"/>
                </a:ext>
                <a:ext uri="{FF2B5EF4-FFF2-40B4-BE49-F238E27FC236}">
                  <a16:creationId xmlns:a16="http://schemas.microsoft.com/office/drawing/2014/main" id="{00000000-0008-0000-0000-0000D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171450</xdr:colOff>
      <xdr:row>12</xdr:row>
      <xdr:rowOff>28575</xdr:rowOff>
    </xdr:from>
    <xdr:to>
      <xdr:col>5</xdr:col>
      <xdr:colOff>95250</xdr:colOff>
      <xdr:row>15</xdr:row>
      <xdr:rowOff>9525</xdr:rowOff>
    </xdr:to>
    <xdr:pic>
      <xdr:nvPicPr>
        <xdr:cNvPr id="23098" name="47 Imagen" descr="C:\RFE de A\Común Técnico\Logos\Logos HISTÓRICOS 2012\velo3.jpg">
          <a:extLst>
            <a:ext uri="{FF2B5EF4-FFF2-40B4-BE49-F238E27FC236}">
              <a16:creationId xmlns:a16="http://schemas.microsoft.com/office/drawing/2014/main" id="{00000000-0008-0000-0000-00003A5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485900"/>
          <a:ext cx="866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78</xdr:row>
          <xdr:rowOff>0</xdr:rowOff>
        </xdr:from>
        <xdr:to>
          <xdr:col>12</xdr:col>
          <xdr:colOff>190500</xdr:colOff>
          <xdr:row>78</xdr:row>
          <xdr:rowOff>209550</xdr:rowOff>
        </xdr:to>
        <xdr:sp macro="" textlink="">
          <xdr:nvSpPr>
            <xdr:cNvPr id="6455" name="Option Button 2359" hidden="1">
              <a:extLst>
                <a:ext uri="{63B3BB69-23CF-44E3-9099-C40C66FF867C}">
                  <a14:compatExt spid="_x0000_s6455"/>
                </a:ext>
                <a:ext uri="{FF2B5EF4-FFF2-40B4-BE49-F238E27FC236}">
                  <a16:creationId xmlns:a16="http://schemas.microsoft.com/office/drawing/2014/main" id="{00000000-0008-0000-0000-00003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76200</xdr:colOff>
          <xdr:row>78</xdr:row>
          <xdr:rowOff>9525</xdr:rowOff>
        </xdr:from>
        <xdr:to>
          <xdr:col>15</xdr:col>
          <xdr:colOff>38100</xdr:colOff>
          <xdr:row>78</xdr:row>
          <xdr:rowOff>219075</xdr:rowOff>
        </xdr:to>
        <xdr:sp macro="" textlink="">
          <xdr:nvSpPr>
            <xdr:cNvPr id="6456" name="Option Button 2360" hidden="1">
              <a:extLst>
                <a:ext uri="{63B3BB69-23CF-44E3-9099-C40C66FF867C}">
                  <a14:compatExt spid="_x0000_s6456"/>
                </a:ext>
                <a:ext uri="{FF2B5EF4-FFF2-40B4-BE49-F238E27FC236}">
                  <a16:creationId xmlns:a16="http://schemas.microsoft.com/office/drawing/2014/main" id="{00000000-0008-0000-0000-00003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27</xdr:row>
          <xdr:rowOff>200025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57150</xdr:colOff>
      <xdr:row>1</xdr:row>
      <xdr:rowOff>66675</xdr:rowOff>
    </xdr:from>
    <xdr:to>
      <xdr:col>2</xdr:col>
      <xdr:colOff>542925</xdr:colOff>
      <xdr:row>2</xdr:row>
      <xdr:rowOff>723900</xdr:rowOff>
    </xdr:to>
    <xdr:pic>
      <xdr:nvPicPr>
        <xdr:cNvPr id="2891" name="47 Imagen" descr="C:\RFE de A\Común Técnico\Logos\Logos HISTÓRICOS 2012\velo3.jpg">
          <a:extLst>
            <a:ext uri="{FF2B5EF4-FFF2-40B4-BE49-F238E27FC236}">
              <a16:creationId xmlns:a16="http://schemas.microsoft.com/office/drawing/2014/main" id="{00000000-0008-0000-0100-00004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0025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581025</xdr:colOff>
      <xdr:row>1</xdr:row>
      <xdr:rowOff>66675</xdr:rowOff>
    </xdr:from>
    <xdr:to>
      <xdr:col>3</xdr:col>
      <xdr:colOff>809625</xdr:colOff>
      <xdr:row>2</xdr:row>
      <xdr:rowOff>723900</xdr:rowOff>
    </xdr:to>
    <xdr:pic>
      <xdr:nvPicPr>
        <xdr:cNvPr id="2892" name="Picture 980">
          <a:extLst>
            <a:ext uri="{FF2B5EF4-FFF2-40B4-BE49-F238E27FC236}">
              <a16:creationId xmlns:a16="http://schemas.microsoft.com/office/drawing/2014/main" id="{00000000-0008-0000-0100-00004C0B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00025"/>
          <a:ext cx="876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urense@bme.es" TargetMode="External"/><Relationship Id="rId5" Type="http://schemas.openxmlformats.org/officeDocument/2006/relationships/ctrlProp" Target="../ctrlProps/ctrlProp29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rourense@bme.es" TargetMode="External"/><Relationship Id="rId1" Type="http://schemas.openxmlformats.org/officeDocument/2006/relationships/hyperlink" Target="mailto:rallye@rallyeaviles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34"/>
  </sheetPr>
  <dimension ref="A1:AJ213"/>
  <sheetViews>
    <sheetView showGridLines="0" tabSelected="1" showOutlineSymbols="0" zoomScale="125" zoomScaleNormal="125" workbookViewId="0">
      <selection activeCell="AI76" sqref="AI76"/>
    </sheetView>
  </sheetViews>
  <sheetFormatPr baseColWidth="10" defaultColWidth="0" defaultRowHeight="0" customHeight="1" zeroHeight="1" x14ac:dyDescent="0.2"/>
  <cols>
    <col min="1" max="1" width="6.7109375" style="133" customWidth="1"/>
    <col min="2" max="2" width="2.5703125" style="133" customWidth="1"/>
    <col min="3" max="3" width="4.7109375" style="133" customWidth="1"/>
    <col min="4" max="7" width="3.42578125" style="133" customWidth="1"/>
    <col min="8" max="8" width="4.5703125" style="133" customWidth="1"/>
    <col min="9" max="9" width="2.28515625" style="133" customWidth="1"/>
    <col min="10" max="10" width="4.7109375" style="133" customWidth="1"/>
    <col min="11" max="11" width="1.28515625" style="133" customWidth="1"/>
    <col min="12" max="12" width="3.42578125" style="133" customWidth="1"/>
    <col min="13" max="13" width="5.85546875" style="133" customWidth="1"/>
    <col min="14" max="14" width="3.42578125" style="133" customWidth="1"/>
    <col min="15" max="15" width="2.7109375" style="133" customWidth="1"/>
    <col min="16" max="18" width="2" style="133" customWidth="1"/>
    <col min="19" max="19" width="1.140625" style="133" customWidth="1"/>
    <col min="20" max="21" width="2" style="133" customWidth="1"/>
    <col min="22" max="22" width="2.140625" style="133" customWidth="1"/>
    <col min="23" max="23" width="4.7109375" style="133" customWidth="1"/>
    <col min="24" max="24" width="2.7109375" style="133" customWidth="1"/>
    <col min="25" max="25" width="2.42578125" style="133" customWidth="1"/>
    <col min="26" max="26" width="2.7109375" style="133" customWidth="1"/>
    <col min="27" max="27" width="3.28515625" style="133" customWidth="1"/>
    <col min="28" max="29" width="3.42578125" style="133" customWidth="1"/>
    <col min="30" max="31" width="2" style="133" customWidth="1"/>
    <col min="32" max="33" width="3.42578125" style="133" customWidth="1"/>
    <col min="34" max="34" width="2.5703125" style="133" customWidth="1"/>
    <col min="35" max="35" width="6.7109375" style="133" customWidth="1"/>
    <col min="36" max="36" width="0" style="133" hidden="1" customWidth="1"/>
    <col min="37" max="16384" width="11.42578125" style="133" hidden="1"/>
  </cols>
  <sheetData>
    <row r="1" spans="2:34" s="100" customFormat="1" ht="5.0999999999999996" customHeight="1" x14ac:dyDescent="0.2"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</row>
    <row r="2" spans="2:34" s="114" customFormat="1" ht="3.95" customHeight="1" x14ac:dyDescent="0.2">
      <c r="B2" s="125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</row>
    <row r="3" spans="2:34" s="114" customFormat="1" ht="9.9499999999999993" customHeight="1" x14ac:dyDescent="0.2">
      <c r="B3" s="129"/>
      <c r="C3" s="130" t="s">
        <v>84</v>
      </c>
      <c r="D3" s="131" t="s">
        <v>859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</row>
    <row r="4" spans="2:34" s="114" customFormat="1" ht="9.9499999999999993" customHeight="1" x14ac:dyDescent="0.2">
      <c r="B4" s="129"/>
      <c r="C4" s="130" t="s">
        <v>85</v>
      </c>
      <c r="D4" s="131" t="s">
        <v>813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2"/>
    </row>
    <row r="5" spans="2:34" s="114" customFormat="1" ht="9.9499999999999993" customHeight="1" x14ac:dyDescent="0.2">
      <c r="B5" s="129"/>
      <c r="C5" s="130" t="s">
        <v>86</v>
      </c>
      <c r="D5" s="131" t="s">
        <v>815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2"/>
    </row>
    <row r="6" spans="2:34" s="114" customFormat="1" ht="9.9499999999999993" customHeight="1" x14ac:dyDescent="0.15">
      <c r="B6" s="129"/>
      <c r="C6" s="156" t="s">
        <v>190</v>
      </c>
      <c r="D6" s="157" t="s">
        <v>814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8"/>
    </row>
    <row r="7" spans="2:34" s="114" customFormat="1" ht="14.1" customHeight="1" x14ac:dyDescent="0.2">
      <c r="B7" s="420" t="s">
        <v>88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2"/>
    </row>
    <row r="8" spans="2:34" s="100" customFormat="1" ht="2.1" customHeight="1" x14ac:dyDescent="0.2">
      <c r="B8" s="121"/>
      <c r="C8" s="122"/>
      <c r="D8" s="123"/>
      <c r="E8" s="124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2:34" s="100" customFormat="1" ht="9.9499999999999993" customHeight="1" x14ac:dyDescent="0.2">
      <c r="B9" s="429" t="str">
        <f>IF(PENDIENTES=0,"Datos obligatorios OK","Datos obligatorios INCOMPLETOS")</f>
        <v>Datos obligatorios INCOMPLETOS</v>
      </c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1"/>
      <c r="P9" s="435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7"/>
    </row>
    <row r="10" spans="2:34" s="114" customFormat="1" ht="12.95" customHeight="1" x14ac:dyDescent="0.2">
      <c r="B10" s="432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4"/>
      <c r="P10" s="438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40"/>
    </row>
    <row r="11" spans="2:34" s="114" customFormat="1" ht="26.1" customHeight="1" x14ac:dyDescent="0.2">
      <c r="B11" s="180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205"/>
    </row>
    <row r="12" spans="2:34" s="100" customFormat="1" ht="5.0999999999999996" customHeight="1" x14ac:dyDescent="0.2">
      <c r="B12" s="181"/>
      <c r="C12" s="116"/>
      <c r="D12" s="117"/>
      <c r="E12" s="118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9"/>
      <c r="Z12" s="119"/>
      <c r="AA12" s="119"/>
      <c r="AB12" s="119"/>
      <c r="AC12" s="119"/>
      <c r="AD12" s="119"/>
      <c r="AE12" s="119"/>
      <c r="AF12" s="119"/>
      <c r="AG12" s="119"/>
      <c r="AH12" s="220"/>
    </row>
    <row r="13" spans="2:34" s="100" customFormat="1" ht="13.5" customHeight="1" x14ac:dyDescent="0.2">
      <c r="B13" s="83"/>
      <c r="C13" s="60"/>
      <c r="D13" s="60"/>
      <c r="E13" s="60"/>
      <c r="F13" s="60"/>
      <c r="G13" s="60"/>
      <c r="H13" s="60"/>
      <c r="I13" s="12" t="str">
        <f>IF(Vehiculo_Categoria="Categoría 1","OK",IF(Vehiculo_Categoria="Categoría 2","OK",IF(Vehiculo_Categoria="Categoría 3","OK",IF(Vehiculo_Categoria="Categoría 4","OK",IF(Vehiculo_Categoria="Categoría 5-J1","OK",IF(Vehiculo_Categoria="Categoría 5-J2","OK",IF(Vehiculo_Categoria="Categoría 6","OK",IF(Vehiculo_Categoria="Categoría 7","OK","NOK"))))))))</f>
        <v>NOK</v>
      </c>
      <c r="J13" s="147"/>
      <c r="K13" s="441" t="s">
        <v>895</v>
      </c>
      <c r="L13" s="441"/>
      <c r="M13" s="441"/>
      <c r="N13" s="441"/>
      <c r="O13" s="441"/>
      <c r="P13" s="441"/>
      <c r="Q13" s="441"/>
      <c r="R13" s="441"/>
      <c r="S13" s="441"/>
      <c r="T13" s="441"/>
      <c r="U13" s="441"/>
      <c r="V13" s="441"/>
      <c r="W13" s="441"/>
      <c r="X13" s="441"/>
      <c r="Y13" s="441"/>
      <c r="Z13" s="441"/>
      <c r="AA13" s="441"/>
      <c r="AB13" s="441"/>
      <c r="AC13" s="441"/>
      <c r="AD13" s="441"/>
      <c r="AE13" s="441"/>
      <c r="AF13" s="441"/>
      <c r="AG13" s="441"/>
      <c r="AH13" s="61"/>
    </row>
    <row r="14" spans="2:34" s="100" customFormat="1" ht="13.5" customHeight="1" x14ac:dyDescent="0.2">
      <c r="B14" s="145"/>
      <c r="C14" s="12"/>
      <c r="D14" s="12"/>
      <c r="E14" s="12"/>
      <c r="F14" s="12"/>
      <c r="G14" s="12"/>
      <c r="H14" s="12"/>
      <c r="I14" s="12" t="str">
        <f>IF(Campeonato=1,"NO",IF(Campeonato=5,"NO","SI"))</f>
        <v>SI</v>
      </c>
      <c r="J14" s="146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53"/>
    </row>
    <row r="15" spans="2:34" s="100" customFormat="1" ht="33.75" customHeight="1" x14ac:dyDescent="0.2">
      <c r="B15" s="145"/>
      <c r="C15" s="12"/>
      <c r="D15" s="12"/>
      <c r="E15" s="12"/>
      <c r="F15" s="12"/>
      <c r="G15" s="12"/>
      <c r="H15" s="12"/>
      <c r="J15" s="177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53"/>
    </row>
    <row r="16" spans="2:34" s="100" customFormat="1" ht="3.95" customHeight="1" x14ac:dyDescent="0.2">
      <c r="B16" s="145"/>
      <c r="C16" s="12"/>
      <c r="D16" s="12"/>
      <c r="E16" s="12"/>
      <c r="F16" s="12"/>
      <c r="G16" s="12"/>
      <c r="H16" s="12"/>
      <c r="I16" s="12"/>
      <c r="J16" s="146"/>
      <c r="K16" s="146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53"/>
    </row>
    <row r="17" spans="2:34" s="100" customFormat="1" ht="17.25" customHeight="1" x14ac:dyDescent="0.2">
      <c r="B17" s="52"/>
      <c r="C17" s="306" t="s">
        <v>151</v>
      </c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8"/>
      <c r="AH17" s="53"/>
    </row>
    <row r="18" spans="2:34" s="100" customFormat="1" ht="3.95" customHeight="1" x14ac:dyDescent="0.2">
      <c r="B18" s="52"/>
      <c r="C18" s="12"/>
      <c r="D18" s="12"/>
      <c r="E18" s="12"/>
      <c r="F18" s="12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53"/>
    </row>
    <row r="19" spans="2:34" s="100" customFormat="1" ht="14.1" customHeight="1" x14ac:dyDescent="0.2">
      <c r="B19" s="52"/>
      <c r="C19" s="426" t="s">
        <v>41</v>
      </c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8"/>
      <c r="Q19" s="149"/>
      <c r="R19" s="426" t="s">
        <v>825</v>
      </c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8"/>
      <c r="AH19" s="53"/>
    </row>
    <row r="20" spans="2:34" s="100" customFormat="1" ht="14.1" customHeight="1" x14ac:dyDescent="0.2">
      <c r="B20" s="52"/>
      <c r="C20" s="472" t="str">
        <f>IF(Blanco=TRUE,"",' Derechos de Inscripción '!B18)</f>
        <v>III Rallye Rías Altas Histórico</v>
      </c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4"/>
      <c r="Q20" s="151"/>
      <c r="R20" s="478" t="str">
        <f>IF(Campeonato&gt;6,"",IF(Campeonato&lt;5,"VELOCIDAD","REGULARIDAD"))</f>
        <v/>
      </c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79"/>
      <c r="AH20" s="53"/>
    </row>
    <row r="21" spans="2:34" s="100" customFormat="1" ht="9" customHeight="1" x14ac:dyDescent="0.2">
      <c r="B21" s="54">
        <v>3</v>
      </c>
      <c r="C21" s="475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7"/>
      <c r="Q21" s="151"/>
      <c r="R21" s="480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1"/>
      <c r="AD21" s="481"/>
      <c r="AE21" s="481"/>
      <c r="AF21" s="481"/>
      <c r="AG21" s="482"/>
      <c r="AH21" s="53"/>
    </row>
    <row r="22" spans="2:34" s="100" customFormat="1" ht="3.95" customHeight="1" x14ac:dyDescent="0.2">
      <c r="B22" s="5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53"/>
    </row>
    <row r="23" spans="2:34" s="100" customFormat="1" ht="6" customHeight="1" x14ac:dyDescent="0.2">
      <c r="B23" s="52"/>
      <c r="C23" s="517" t="str">
        <f>IF(Blanco=TRUE,"",' Derechos de Inscripción '!D21)</f>
        <v>CLUB RALLYE RIAS ALTAS</v>
      </c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9"/>
      <c r="Q23" s="12"/>
      <c r="R23" s="516" t="s">
        <v>40</v>
      </c>
      <c r="S23" s="483"/>
      <c r="T23" s="483"/>
      <c r="U23" s="483"/>
      <c r="V23" s="483"/>
      <c r="W23" s="483"/>
      <c r="X23" s="483"/>
      <c r="Y23" s="483"/>
      <c r="Z23" s="483"/>
      <c r="AA23" s="516" t="s">
        <v>36</v>
      </c>
      <c r="AB23" s="483"/>
      <c r="AC23" s="484"/>
      <c r="AD23" s="483" t="s">
        <v>112</v>
      </c>
      <c r="AE23" s="483"/>
      <c r="AF23" s="483"/>
      <c r="AG23" s="484"/>
      <c r="AH23" s="53"/>
    </row>
    <row r="24" spans="2:34" s="100" customFormat="1" ht="6.95" customHeight="1" x14ac:dyDescent="0.2">
      <c r="B24" s="52"/>
      <c r="C24" s="520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2"/>
      <c r="Q24" s="12"/>
      <c r="R24" s="446"/>
      <c r="S24" s="447"/>
      <c r="T24" s="447"/>
      <c r="U24" s="447"/>
      <c r="V24" s="447"/>
      <c r="W24" s="447"/>
      <c r="X24" s="447"/>
      <c r="Y24" s="447"/>
      <c r="Z24" s="447"/>
      <c r="AA24" s="446"/>
      <c r="AB24" s="447"/>
      <c r="AC24" s="485"/>
      <c r="AD24" s="447"/>
      <c r="AE24" s="447"/>
      <c r="AF24" s="447"/>
      <c r="AG24" s="485"/>
      <c r="AH24" s="53"/>
    </row>
    <row r="25" spans="2:34" s="100" customFormat="1" ht="6" customHeight="1" x14ac:dyDescent="0.2">
      <c r="B25" s="52"/>
      <c r="C25" s="423" t="str">
        <f>IF(Blanco=TRUE,"",' Derechos de Inscripción '!D22)</f>
        <v>C/ Parroquia de Guísamo, Parcela A2, Nave 7</v>
      </c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5"/>
      <c r="Q25" s="12"/>
      <c r="R25" s="449"/>
      <c r="S25" s="450"/>
      <c r="T25" s="450"/>
      <c r="U25" s="450"/>
      <c r="V25" s="450"/>
      <c r="W25" s="450"/>
      <c r="X25" s="450"/>
      <c r="Y25" s="450"/>
      <c r="Z25" s="450"/>
      <c r="AA25" s="449"/>
      <c r="AB25" s="450"/>
      <c r="AC25" s="486"/>
      <c r="AD25" s="450"/>
      <c r="AE25" s="450"/>
      <c r="AF25" s="450"/>
      <c r="AG25" s="486"/>
      <c r="AH25" s="53"/>
    </row>
    <row r="26" spans="2:34" s="100" customFormat="1" ht="6.95" customHeight="1" x14ac:dyDescent="0.2">
      <c r="B26" s="52"/>
      <c r="C26" s="423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5"/>
      <c r="Q26" s="12"/>
      <c r="R26" s="443" t="s">
        <v>37</v>
      </c>
      <c r="S26" s="444"/>
      <c r="T26" s="444"/>
      <c r="U26" s="445"/>
      <c r="V26" s="530"/>
      <c r="W26" s="530"/>
      <c r="X26" s="530"/>
      <c r="Y26" s="530"/>
      <c r="Z26" s="530"/>
      <c r="AA26" s="523"/>
      <c r="AB26" s="524"/>
      <c r="AC26" s="469"/>
      <c r="AD26" s="467"/>
      <c r="AE26" s="468"/>
      <c r="AF26" s="468"/>
      <c r="AG26" s="469"/>
      <c r="AH26" s="53"/>
    </row>
    <row r="27" spans="2:34" s="100" customFormat="1" ht="6.95" customHeight="1" x14ac:dyDescent="0.2">
      <c r="B27" s="52"/>
      <c r="C27" s="461" t="str">
        <f>IF(Blanco=TRUE,"",IF(TEXT(' Derechos de Inscripción '!D23,"00000")=" ","",TEXT(' Derechos de Inscripción '!D23,"00000")&amp;"-"&amp;' Derechos de Inscripción '!F23&amp;" "&amp;' Derechos de Inscripción '!D24))</f>
        <v>15165-BERGONDO (A CORUÑA)</v>
      </c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3"/>
      <c r="Q27" s="12"/>
      <c r="R27" s="446"/>
      <c r="S27" s="447"/>
      <c r="T27" s="447"/>
      <c r="U27" s="448"/>
      <c r="V27" s="530"/>
      <c r="W27" s="530"/>
      <c r="X27" s="530"/>
      <c r="Y27" s="530"/>
      <c r="Z27" s="530"/>
      <c r="AA27" s="525"/>
      <c r="AB27" s="524"/>
      <c r="AC27" s="469"/>
      <c r="AD27" s="468"/>
      <c r="AE27" s="468"/>
      <c r="AF27" s="468"/>
      <c r="AG27" s="469"/>
      <c r="AH27" s="53"/>
    </row>
    <row r="28" spans="2:34" s="100" customFormat="1" ht="6" customHeight="1" x14ac:dyDescent="0.2">
      <c r="B28" s="52"/>
      <c r="C28" s="461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3"/>
      <c r="Q28" s="12"/>
      <c r="R28" s="446"/>
      <c r="S28" s="447"/>
      <c r="T28" s="447"/>
      <c r="U28" s="448"/>
      <c r="V28" s="530"/>
      <c r="W28" s="530"/>
      <c r="X28" s="530"/>
      <c r="Y28" s="530"/>
      <c r="Z28" s="530"/>
      <c r="AA28" s="525"/>
      <c r="AB28" s="524"/>
      <c r="AC28" s="469"/>
      <c r="AD28" s="468"/>
      <c r="AE28" s="468"/>
      <c r="AF28" s="468"/>
      <c r="AG28" s="469"/>
      <c r="AH28" s="53"/>
    </row>
    <row r="29" spans="2:34" s="100" customFormat="1" ht="6" customHeight="1" x14ac:dyDescent="0.2">
      <c r="B29" s="52"/>
      <c r="C29" s="464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676 857 909 - FAX: 0</v>
      </c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6"/>
      <c r="Q29" s="12"/>
      <c r="R29" s="449"/>
      <c r="S29" s="450"/>
      <c r="T29" s="450"/>
      <c r="U29" s="451"/>
      <c r="V29" s="531"/>
      <c r="W29" s="531"/>
      <c r="X29" s="531"/>
      <c r="Y29" s="531"/>
      <c r="Z29" s="531"/>
      <c r="AA29" s="525"/>
      <c r="AB29" s="524"/>
      <c r="AC29" s="469"/>
      <c r="AD29" s="468"/>
      <c r="AE29" s="468"/>
      <c r="AF29" s="468"/>
      <c r="AG29" s="469"/>
      <c r="AH29" s="53"/>
    </row>
    <row r="30" spans="2:34" s="100" customFormat="1" ht="6" customHeight="1" x14ac:dyDescent="0.2">
      <c r="B30" s="52"/>
      <c r="C30" s="464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6"/>
      <c r="Q30" s="12"/>
      <c r="R30" s="452" t="s">
        <v>38</v>
      </c>
      <c r="S30" s="453"/>
      <c r="T30" s="453"/>
      <c r="U30" s="454"/>
      <c r="V30" s="527"/>
      <c r="W30" s="527"/>
      <c r="X30" s="527"/>
      <c r="Y30" s="527"/>
      <c r="Z30" s="527"/>
      <c r="AA30" s="525"/>
      <c r="AB30" s="524"/>
      <c r="AC30" s="469"/>
      <c r="AD30" s="468"/>
      <c r="AE30" s="468"/>
      <c r="AF30" s="468"/>
      <c r="AG30" s="469"/>
      <c r="AH30" s="53"/>
    </row>
    <row r="31" spans="2:34" s="100" customFormat="1" ht="6" customHeight="1" x14ac:dyDescent="0.2">
      <c r="B31" s="52"/>
      <c r="C31" s="487" t="str">
        <f>IF(Blanco=TRUE,"","e_mail: " &amp; ' Derechos de Inscripción '!H25)</f>
        <v>e_mail: inscripciones@rallyeriasaltas.com</v>
      </c>
      <c r="D31" s="488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9"/>
      <c r="Q31" s="12"/>
      <c r="R31" s="455"/>
      <c r="S31" s="456"/>
      <c r="T31" s="456"/>
      <c r="U31" s="457"/>
      <c r="V31" s="528"/>
      <c r="W31" s="528"/>
      <c r="X31" s="528"/>
      <c r="Y31" s="528"/>
      <c r="Z31" s="528"/>
      <c r="AA31" s="525"/>
      <c r="AB31" s="524"/>
      <c r="AC31" s="469"/>
      <c r="AD31" s="468"/>
      <c r="AE31" s="468"/>
      <c r="AF31" s="468"/>
      <c r="AG31" s="469"/>
      <c r="AH31" s="53"/>
    </row>
    <row r="32" spans="2:34" s="100" customFormat="1" ht="6" customHeight="1" x14ac:dyDescent="0.2">
      <c r="B32" s="52"/>
      <c r="C32" s="487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9"/>
      <c r="Q32" s="12"/>
      <c r="R32" s="455"/>
      <c r="S32" s="456"/>
      <c r="T32" s="456"/>
      <c r="U32" s="457"/>
      <c r="V32" s="528"/>
      <c r="W32" s="528"/>
      <c r="X32" s="528"/>
      <c r="Y32" s="528"/>
      <c r="Z32" s="528"/>
      <c r="AA32" s="525"/>
      <c r="AB32" s="524"/>
      <c r="AC32" s="469"/>
      <c r="AD32" s="468"/>
      <c r="AE32" s="468"/>
      <c r="AF32" s="468"/>
      <c r="AG32" s="469"/>
      <c r="AH32" s="53"/>
    </row>
    <row r="33" spans="2:35" s="100" customFormat="1" ht="3.75" customHeight="1" x14ac:dyDescent="0.2">
      <c r="B33" s="52"/>
      <c r="C33" s="490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2"/>
      <c r="Q33" s="12"/>
      <c r="R33" s="458"/>
      <c r="S33" s="459"/>
      <c r="T33" s="459"/>
      <c r="U33" s="460"/>
      <c r="V33" s="529"/>
      <c r="W33" s="529"/>
      <c r="X33" s="529"/>
      <c r="Y33" s="529"/>
      <c r="Z33" s="529"/>
      <c r="AA33" s="526"/>
      <c r="AB33" s="470"/>
      <c r="AC33" s="471"/>
      <c r="AD33" s="470"/>
      <c r="AE33" s="470"/>
      <c r="AF33" s="470"/>
      <c r="AG33" s="471"/>
      <c r="AH33" s="53"/>
    </row>
    <row r="34" spans="2:35" s="100" customFormat="1" ht="3.95" customHeight="1" x14ac:dyDescent="0.2">
      <c r="B34" s="5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53"/>
    </row>
    <row r="35" spans="2:35" s="100" customFormat="1" ht="18.95" customHeight="1" x14ac:dyDescent="0.2">
      <c r="B35" s="52"/>
      <c r="C35" s="306" t="s">
        <v>0</v>
      </c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8"/>
      <c r="AH35" s="53"/>
    </row>
    <row r="36" spans="2:35" s="100" customFormat="1" ht="3.95" customHeight="1" x14ac:dyDescent="0.2">
      <c r="B36" s="5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53"/>
    </row>
    <row r="37" spans="2:35" s="100" customFormat="1" ht="11.1" customHeight="1" x14ac:dyDescent="0.2">
      <c r="B37" s="52"/>
      <c r="C37" s="332" t="s">
        <v>860</v>
      </c>
      <c r="D37" s="87" t="s">
        <v>1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9"/>
      <c r="AH37" s="53"/>
    </row>
    <row r="38" spans="2:35" s="100" customFormat="1" ht="11.1" customHeight="1" x14ac:dyDescent="0.2">
      <c r="B38" s="52"/>
      <c r="C38" s="333"/>
      <c r="D38" s="17" t="s">
        <v>89</v>
      </c>
      <c r="E38" s="12"/>
      <c r="F38" s="12"/>
      <c r="G38" s="12"/>
      <c r="H38" s="12"/>
      <c r="I38" s="12"/>
      <c r="J38" s="12"/>
      <c r="K38" s="12"/>
      <c r="L38" s="27" t="s">
        <v>90</v>
      </c>
      <c r="M38" s="12"/>
      <c r="N38" s="12"/>
      <c r="O38" s="12"/>
      <c r="P38" s="12"/>
      <c r="Q38" s="19"/>
      <c r="R38" s="12"/>
      <c r="S38" s="12"/>
      <c r="T38" s="12"/>
      <c r="U38" s="18"/>
      <c r="V38" s="27" t="s">
        <v>2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3"/>
      <c r="AH38" s="53"/>
    </row>
    <row r="39" spans="2:35" s="100" customFormat="1" ht="15.95" customHeight="1" x14ac:dyDescent="0.2">
      <c r="B39" s="52"/>
      <c r="C39" s="333"/>
      <c r="D39" s="403"/>
      <c r="E39" s="404"/>
      <c r="F39" s="404"/>
      <c r="G39" s="404"/>
      <c r="H39" s="404"/>
      <c r="I39" s="404"/>
      <c r="J39" s="404"/>
      <c r="K39" s="404"/>
      <c r="L39" s="407"/>
      <c r="M39" s="404"/>
      <c r="N39" s="404"/>
      <c r="O39" s="404"/>
      <c r="P39" s="404"/>
      <c r="Q39" s="404"/>
      <c r="R39" s="404"/>
      <c r="S39" s="404"/>
      <c r="T39" s="404"/>
      <c r="U39" s="405"/>
      <c r="V39" s="407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8"/>
      <c r="AH39" s="53"/>
    </row>
    <row r="40" spans="2:35" s="100" customFormat="1" ht="11.1" customHeight="1" x14ac:dyDescent="0.2">
      <c r="B40" s="52"/>
      <c r="C40" s="333"/>
      <c r="D40" s="98" t="s">
        <v>3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2"/>
      <c r="AH40" s="53"/>
    </row>
    <row r="41" spans="2:35" s="100" customFormat="1" ht="11.1" customHeight="1" x14ac:dyDescent="0.2">
      <c r="B41" s="52"/>
      <c r="C41" s="333"/>
      <c r="D41" s="38" t="s">
        <v>15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41" t="s">
        <v>4</v>
      </c>
      <c r="R41" s="41"/>
      <c r="S41" s="41"/>
      <c r="T41" s="41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2"/>
      <c r="AH41" s="53"/>
    </row>
    <row r="42" spans="2:35" s="100" customFormat="1" ht="15.95" customHeight="1" x14ac:dyDescent="0.2">
      <c r="B42" s="52"/>
      <c r="C42" s="333"/>
      <c r="D42" s="403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5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8"/>
      <c r="AH42" s="53"/>
    </row>
    <row r="43" spans="2:35" s="100" customFormat="1" ht="11.1" customHeight="1" x14ac:dyDescent="0.2">
      <c r="B43" s="52"/>
      <c r="C43" s="333"/>
      <c r="D43" s="38" t="s">
        <v>5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  <c r="Q43" s="43" t="s">
        <v>6</v>
      </c>
      <c r="R43" s="43"/>
      <c r="S43" s="43"/>
      <c r="T43" s="43"/>
      <c r="U43" s="44"/>
      <c r="V43" s="45" t="s">
        <v>7</v>
      </c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7"/>
      <c r="AH43" s="53"/>
    </row>
    <row r="44" spans="2:35" s="100" customFormat="1" ht="15.95" customHeight="1" x14ac:dyDescent="0.2">
      <c r="B44" s="52"/>
      <c r="C44" s="333"/>
      <c r="D44" s="403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5"/>
      <c r="Q44" s="410"/>
      <c r="R44" s="410"/>
      <c r="S44" s="410"/>
      <c r="T44" s="410"/>
      <c r="U44" s="411"/>
      <c r="V44" s="407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8"/>
      <c r="AH44" s="53"/>
    </row>
    <row r="45" spans="2:35" s="100" customFormat="1" ht="11.1" customHeight="1" x14ac:dyDescent="0.2">
      <c r="B45" s="52"/>
      <c r="C45" s="333"/>
      <c r="D45" s="182" t="s">
        <v>8</v>
      </c>
      <c r="E45" s="183"/>
      <c r="F45" s="183"/>
      <c r="G45" s="183"/>
      <c r="H45" s="44"/>
      <c r="I45" s="45" t="s">
        <v>217</v>
      </c>
      <c r="J45" s="43"/>
      <c r="K45" s="183"/>
      <c r="L45" s="183"/>
      <c r="M45" s="44"/>
      <c r="N45" s="45" t="s">
        <v>9</v>
      </c>
      <c r="O45" s="183"/>
      <c r="P45" s="183"/>
      <c r="Q45" s="43"/>
      <c r="R45" s="183"/>
      <c r="S45" s="183"/>
      <c r="T45" s="183"/>
      <c r="U45" s="185"/>
      <c r="V45" s="45" t="s">
        <v>11</v>
      </c>
      <c r="W45" s="183"/>
      <c r="X45" s="183"/>
      <c r="Y45" s="43"/>
      <c r="Z45" s="185"/>
      <c r="AA45" s="43" t="s">
        <v>10</v>
      </c>
      <c r="AB45" s="183"/>
      <c r="AC45" s="183"/>
      <c r="AD45" s="185"/>
      <c r="AE45" s="45" t="s">
        <v>12</v>
      </c>
      <c r="AF45" s="183"/>
      <c r="AG45" s="184"/>
      <c r="AH45" s="53"/>
      <c r="AI45" s="201" t="str">
        <f>VLOOKUP(Indice_Pais_Concursante,Tabla_Paises,5)</f>
        <v xml:space="preserve">ESP </v>
      </c>
    </row>
    <row r="46" spans="2:35" s="100" customFormat="1" ht="15.95" customHeight="1" x14ac:dyDescent="0.2">
      <c r="B46" s="52"/>
      <c r="C46" s="333"/>
      <c r="D46" s="406"/>
      <c r="E46" s="347"/>
      <c r="F46" s="347"/>
      <c r="G46" s="347"/>
      <c r="H46" s="348"/>
      <c r="I46" s="343" t="str">
        <f>VLOOKUP(Indice_CCAA_Concursante,Tabla_Autonomias,3)</f>
        <v xml:space="preserve"> </v>
      </c>
      <c r="J46" s="344"/>
      <c r="K46" s="344"/>
      <c r="L46" s="344"/>
      <c r="M46" s="345"/>
      <c r="N46" s="343" t="str">
        <f>VLOOKUP(Indice_Pais_Concursante,Tabla_Paises,2)</f>
        <v>España</v>
      </c>
      <c r="O46" s="344"/>
      <c r="P46" s="344"/>
      <c r="Q46" s="344"/>
      <c r="R46" s="344"/>
      <c r="S46" s="344"/>
      <c r="T46" s="344"/>
      <c r="U46" s="345"/>
      <c r="V46" s="346"/>
      <c r="W46" s="347"/>
      <c r="X46" s="347"/>
      <c r="Y46" s="347"/>
      <c r="Z46" s="348"/>
      <c r="AA46" s="409"/>
      <c r="AB46" s="410"/>
      <c r="AC46" s="410"/>
      <c r="AD46" s="411"/>
      <c r="AE46" s="409"/>
      <c r="AF46" s="410"/>
      <c r="AG46" s="534"/>
      <c r="AH46" s="53"/>
      <c r="AI46" s="201" t="str">
        <f>VLOOKUP(Indice_CCAA_Concursante,Tabla_Autonomias,2)</f>
        <v xml:space="preserve"> </v>
      </c>
    </row>
    <row r="47" spans="2:35" s="100" customFormat="1" ht="11.1" customHeight="1" x14ac:dyDescent="0.2">
      <c r="B47" s="52"/>
      <c r="C47" s="333"/>
      <c r="D47" s="38" t="s">
        <v>118</v>
      </c>
      <c r="E47" s="39"/>
      <c r="F47" s="39"/>
      <c r="G47" s="39"/>
      <c r="H47" s="40"/>
      <c r="I47" s="48" t="s">
        <v>119</v>
      </c>
      <c r="J47" s="39"/>
      <c r="K47" s="39"/>
      <c r="L47" s="39"/>
      <c r="M47" s="40"/>
      <c r="N47" s="48" t="s">
        <v>13</v>
      </c>
      <c r="O47" s="39"/>
      <c r="P47" s="39"/>
      <c r="Q47" s="39"/>
      <c r="R47" s="39"/>
      <c r="S47" s="39"/>
      <c r="T47" s="39"/>
      <c r="U47" s="40"/>
      <c r="V47" s="41" t="s">
        <v>824</v>
      </c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2"/>
      <c r="AH47" s="53"/>
      <c r="AI47" s="201"/>
    </row>
    <row r="48" spans="2:35" s="100" customFormat="1" ht="15.95" customHeight="1" x14ac:dyDescent="0.2">
      <c r="B48" s="52"/>
      <c r="C48" s="334"/>
      <c r="D48" s="315"/>
      <c r="E48" s="316"/>
      <c r="F48" s="316"/>
      <c r="G48" s="316"/>
      <c r="H48" s="317"/>
      <c r="I48" s="419"/>
      <c r="J48" s="316"/>
      <c r="K48" s="316"/>
      <c r="L48" s="316"/>
      <c r="M48" s="317"/>
      <c r="N48" s="419"/>
      <c r="O48" s="316"/>
      <c r="P48" s="316"/>
      <c r="Q48" s="316"/>
      <c r="R48" s="316"/>
      <c r="S48" s="316"/>
      <c r="T48" s="316"/>
      <c r="U48" s="317"/>
      <c r="V48" s="362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4"/>
      <c r="AH48" s="53"/>
      <c r="AI48" s="201"/>
    </row>
    <row r="49" spans="2:35" s="100" customFormat="1" ht="11.1" customHeight="1" x14ac:dyDescent="0.2">
      <c r="B49" s="52"/>
      <c r="C49" s="332" t="s">
        <v>16</v>
      </c>
      <c r="D49" s="28" t="s">
        <v>89</v>
      </c>
      <c r="E49" s="14"/>
      <c r="F49" s="14"/>
      <c r="G49" s="14"/>
      <c r="H49" s="14"/>
      <c r="I49" s="14"/>
      <c r="J49" s="14"/>
      <c r="K49" s="14"/>
      <c r="L49" s="82" t="s">
        <v>90</v>
      </c>
      <c r="M49" s="14"/>
      <c r="N49" s="14"/>
      <c r="O49" s="14"/>
      <c r="P49" s="14"/>
      <c r="Q49" s="29"/>
      <c r="R49" s="14"/>
      <c r="S49" s="14"/>
      <c r="T49" s="14"/>
      <c r="U49" s="15"/>
      <c r="V49" s="82" t="s">
        <v>2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6"/>
      <c r="AH49" s="53"/>
      <c r="AI49" s="201"/>
    </row>
    <row r="50" spans="2:35" s="100" customFormat="1" ht="15.95" customHeight="1" x14ac:dyDescent="0.2">
      <c r="B50" s="52"/>
      <c r="C50" s="333"/>
      <c r="D50" s="403"/>
      <c r="E50" s="404"/>
      <c r="F50" s="404"/>
      <c r="G50" s="404"/>
      <c r="H50" s="404"/>
      <c r="I50" s="404"/>
      <c r="J50" s="404"/>
      <c r="K50" s="404"/>
      <c r="L50" s="407"/>
      <c r="M50" s="404"/>
      <c r="N50" s="404"/>
      <c r="O50" s="404"/>
      <c r="P50" s="404"/>
      <c r="Q50" s="404"/>
      <c r="R50" s="404"/>
      <c r="S50" s="404"/>
      <c r="T50" s="404"/>
      <c r="U50" s="405"/>
      <c r="V50" s="407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8"/>
      <c r="AH50" s="53"/>
      <c r="AI50" s="201"/>
    </row>
    <row r="51" spans="2:35" s="100" customFormat="1" ht="11.1" customHeight="1" x14ac:dyDescent="0.2">
      <c r="B51" s="52"/>
      <c r="C51" s="333"/>
      <c r="D51" s="17" t="s">
        <v>5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8"/>
      <c r="Q51" s="20" t="s">
        <v>6</v>
      </c>
      <c r="R51" s="20"/>
      <c r="S51" s="20"/>
      <c r="T51" s="20"/>
      <c r="U51" s="21"/>
      <c r="V51" s="22" t="s">
        <v>7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4"/>
      <c r="AH51" s="53"/>
      <c r="AI51" s="201"/>
    </row>
    <row r="52" spans="2:35" s="100" customFormat="1" ht="15.95" customHeight="1" x14ac:dyDescent="0.2">
      <c r="B52" s="52"/>
      <c r="C52" s="333"/>
      <c r="D52" s="403"/>
      <c r="E52" s="404"/>
      <c r="F52" s="404"/>
      <c r="G52" s="404"/>
      <c r="H52" s="404"/>
      <c r="I52" s="404"/>
      <c r="J52" s="404"/>
      <c r="K52" s="404"/>
      <c r="L52" s="404"/>
      <c r="M52" s="404"/>
      <c r="N52" s="404"/>
      <c r="O52" s="404"/>
      <c r="P52" s="405"/>
      <c r="Q52" s="410"/>
      <c r="R52" s="410"/>
      <c r="S52" s="410"/>
      <c r="T52" s="410"/>
      <c r="U52" s="411"/>
      <c r="V52" s="407"/>
      <c r="W52" s="404"/>
      <c r="X52" s="404"/>
      <c r="Y52" s="404"/>
      <c r="Z52" s="404"/>
      <c r="AA52" s="404"/>
      <c r="AB52" s="404"/>
      <c r="AC52" s="404"/>
      <c r="AD52" s="404"/>
      <c r="AE52" s="404"/>
      <c r="AF52" s="404"/>
      <c r="AG52" s="408"/>
      <c r="AH52" s="53"/>
      <c r="AI52" s="201"/>
    </row>
    <row r="53" spans="2:35" s="100" customFormat="1" ht="11.1" customHeight="1" x14ac:dyDescent="0.2">
      <c r="B53" s="52"/>
      <c r="C53" s="333"/>
      <c r="D53" s="182" t="s">
        <v>8</v>
      </c>
      <c r="E53" s="183"/>
      <c r="F53" s="183"/>
      <c r="G53" s="183"/>
      <c r="H53" s="44"/>
      <c r="I53" s="45" t="s">
        <v>217</v>
      </c>
      <c r="J53" s="43"/>
      <c r="K53" s="183"/>
      <c r="L53" s="183"/>
      <c r="M53" s="44"/>
      <c r="N53" s="45" t="s">
        <v>9</v>
      </c>
      <c r="O53" s="183"/>
      <c r="P53" s="183"/>
      <c r="Q53" s="43"/>
      <c r="R53" s="183"/>
      <c r="S53" s="183"/>
      <c r="T53" s="183"/>
      <c r="U53" s="185"/>
      <c r="V53" s="45" t="s">
        <v>11</v>
      </c>
      <c r="W53" s="183"/>
      <c r="X53" s="183"/>
      <c r="Y53" s="43"/>
      <c r="Z53" s="185"/>
      <c r="AA53" s="43" t="s">
        <v>10</v>
      </c>
      <c r="AB53" s="183"/>
      <c r="AC53" s="183"/>
      <c r="AD53" s="185"/>
      <c r="AE53" s="45"/>
      <c r="AF53" s="183"/>
      <c r="AG53" s="184"/>
      <c r="AH53" s="53"/>
      <c r="AI53" s="201" t="str">
        <f>VLOOKUP(Indice_Pais_Piloto,Tabla_Paises,5)</f>
        <v xml:space="preserve">ESP </v>
      </c>
    </row>
    <row r="54" spans="2:35" s="100" customFormat="1" ht="15.95" customHeight="1" x14ac:dyDescent="0.2">
      <c r="B54" s="52"/>
      <c r="C54" s="333"/>
      <c r="D54" s="406"/>
      <c r="E54" s="347"/>
      <c r="F54" s="347"/>
      <c r="G54" s="347"/>
      <c r="H54" s="348"/>
      <c r="I54" s="343" t="str">
        <f>VLOOKUP(Indice_CCAA_Piloto,TABLA_AUTONOMIAS_PILOTO,3)</f>
        <v xml:space="preserve"> </v>
      </c>
      <c r="J54" s="344"/>
      <c r="K54" s="344"/>
      <c r="L54" s="344"/>
      <c r="M54" s="345"/>
      <c r="N54" s="343" t="str">
        <f>VLOOKUP(Indice_Pais_Piloto,Tabla_Paises,2)</f>
        <v>España</v>
      </c>
      <c r="O54" s="344"/>
      <c r="P54" s="344"/>
      <c r="Q54" s="344"/>
      <c r="R54" s="344"/>
      <c r="S54" s="344"/>
      <c r="T54" s="344"/>
      <c r="U54" s="345"/>
      <c r="V54" s="415"/>
      <c r="W54" s="416"/>
      <c r="X54" s="416"/>
      <c r="Y54" s="416"/>
      <c r="Z54" s="417"/>
      <c r="AA54" s="409"/>
      <c r="AB54" s="410"/>
      <c r="AC54" s="410"/>
      <c r="AD54" s="411"/>
      <c r="AE54" s="412"/>
      <c r="AF54" s="413"/>
      <c r="AG54" s="414"/>
      <c r="AH54" s="53"/>
      <c r="AI54" s="201" t="str">
        <f>VLOOKUP(Indice_CCAA_Piloto,TABLA_AUTONOMIAS_PILOTO,2)</f>
        <v xml:space="preserve"> </v>
      </c>
    </row>
    <row r="55" spans="2:35" s="100" customFormat="1" ht="11.1" customHeight="1" x14ac:dyDescent="0.2">
      <c r="B55" s="52"/>
      <c r="C55" s="333"/>
      <c r="D55" s="38" t="s">
        <v>118</v>
      </c>
      <c r="E55" s="39"/>
      <c r="F55" s="39"/>
      <c r="G55" s="39"/>
      <c r="H55" s="40"/>
      <c r="I55" s="48" t="s">
        <v>119</v>
      </c>
      <c r="J55" s="39"/>
      <c r="K55" s="39"/>
      <c r="L55" s="39"/>
      <c r="M55" s="40"/>
      <c r="N55" s="48" t="s">
        <v>13</v>
      </c>
      <c r="O55" s="39"/>
      <c r="P55" s="39"/>
      <c r="Q55" s="39"/>
      <c r="R55" s="39"/>
      <c r="S55" s="39"/>
      <c r="T55" s="39"/>
      <c r="U55" s="40"/>
      <c r="V55" s="45" t="s">
        <v>824</v>
      </c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4"/>
      <c r="AH55" s="53"/>
      <c r="AI55" s="201"/>
    </row>
    <row r="56" spans="2:35" s="100" customFormat="1" ht="15.95" customHeight="1" x14ac:dyDescent="0.2">
      <c r="B56" s="52"/>
      <c r="C56" s="334"/>
      <c r="D56" s="315"/>
      <c r="E56" s="316"/>
      <c r="F56" s="316"/>
      <c r="G56" s="316"/>
      <c r="H56" s="317"/>
      <c r="I56" s="419"/>
      <c r="J56" s="316"/>
      <c r="K56" s="316"/>
      <c r="L56" s="316"/>
      <c r="M56" s="317"/>
      <c r="N56" s="419"/>
      <c r="O56" s="316"/>
      <c r="P56" s="316"/>
      <c r="Q56" s="316"/>
      <c r="R56" s="316"/>
      <c r="S56" s="316"/>
      <c r="T56" s="316"/>
      <c r="U56" s="317"/>
      <c r="V56" s="362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4"/>
      <c r="AH56" s="53"/>
      <c r="AI56" s="201"/>
    </row>
    <row r="57" spans="2:35" s="100" customFormat="1" ht="11.1" customHeight="1" x14ac:dyDescent="0.2">
      <c r="B57" s="52"/>
      <c r="C57" s="332" t="s">
        <v>18</v>
      </c>
      <c r="D57" s="28" t="s">
        <v>89</v>
      </c>
      <c r="E57" s="14"/>
      <c r="F57" s="14"/>
      <c r="G57" s="14"/>
      <c r="H57" s="14"/>
      <c r="I57" s="14"/>
      <c r="J57" s="14"/>
      <c r="K57" s="14"/>
      <c r="L57" s="82" t="s">
        <v>90</v>
      </c>
      <c r="M57" s="14"/>
      <c r="N57" s="14"/>
      <c r="O57" s="14"/>
      <c r="P57" s="14"/>
      <c r="Q57" s="29"/>
      <c r="R57" s="14"/>
      <c r="S57" s="14"/>
      <c r="T57" s="14"/>
      <c r="U57" s="15"/>
      <c r="V57" s="82" t="s">
        <v>2</v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6"/>
      <c r="AH57" s="53"/>
      <c r="AI57" s="201"/>
    </row>
    <row r="58" spans="2:35" s="100" customFormat="1" ht="15.95" customHeight="1" x14ac:dyDescent="0.2">
      <c r="B58" s="52"/>
      <c r="C58" s="333"/>
      <c r="D58" s="403"/>
      <c r="E58" s="404"/>
      <c r="F58" s="404"/>
      <c r="G58" s="404"/>
      <c r="H58" s="404"/>
      <c r="I58" s="404"/>
      <c r="J58" s="404"/>
      <c r="K58" s="405"/>
      <c r="L58" s="407"/>
      <c r="M58" s="404"/>
      <c r="N58" s="404"/>
      <c r="O58" s="404"/>
      <c r="P58" s="404"/>
      <c r="Q58" s="404"/>
      <c r="R58" s="404"/>
      <c r="S58" s="404"/>
      <c r="T58" s="404"/>
      <c r="U58" s="405"/>
      <c r="V58" s="407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8"/>
      <c r="AH58" s="53"/>
      <c r="AI58" s="201"/>
    </row>
    <row r="59" spans="2:35" s="100" customFormat="1" ht="11.1" customHeight="1" x14ac:dyDescent="0.2">
      <c r="B59" s="52"/>
      <c r="C59" s="333"/>
      <c r="D59" s="17" t="s">
        <v>5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8"/>
      <c r="Q59" s="20" t="s">
        <v>6</v>
      </c>
      <c r="R59" s="20"/>
      <c r="S59" s="20"/>
      <c r="T59" s="20"/>
      <c r="U59" s="21"/>
      <c r="V59" s="22" t="s">
        <v>7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4"/>
      <c r="AH59" s="53"/>
      <c r="AI59" s="201"/>
    </row>
    <row r="60" spans="2:35" s="100" customFormat="1" ht="15.95" customHeight="1" x14ac:dyDescent="0.2">
      <c r="B60" s="52"/>
      <c r="C60" s="333"/>
      <c r="D60" s="403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  <c r="P60" s="405"/>
      <c r="Q60" s="410"/>
      <c r="R60" s="410"/>
      <c r="S60" s="410"/>
      <c r="T60" s="410"/>
      <c r="U60" s="411"/>
      <c r="V60" s="407"/>
      <c r="W60" s="404"/>
      <c r="X60" s="404"/>
      <c r="Y60" s="404"/>
      <c r="Z60" s="404"/>
      <c r="AA60" s="404"/>
      <c r="AB60" s="404"/>
      <c r="AC60" s="404"/>
      <c r="AD60" s="404"/>
      <c r="AE60" s="404"/>
      <c r="AF60" s="404"/>
      <c r="AG60" s="408"/>
      <c r="AH60" s="53"/>
      <c r="AI60" s="201"/>
    </row>
    <row r="61" spans="2:35" s="100" customFormat="1" ht="11.1" customHeight="1" x14ac:dyDescent="0.2">
      <c r="B61" s="52"/>
      <c r="C61" s="333"/>
      <c r="D61" s="182" t="s">
        <v>8</v>
      </c>
      <c r="E61" s="183"/>
      <c r="F61" s="183"/>
      <c r="G61" s="183"/>
      <c r="H61" s="44"/>
      <c r="I61" s="45" t="s">
        <v>217</v>
      </c>
      <c r="J61" s="43"/>
      <c r="K61" s="183"/>
      <c r="L61" s="183"/>
      <c r="M61" s="44"/>
      <c r="N61" s="45" t="s">
        <v>9</v>
      </c>
      <c r="O61" s="183"/>
      <c r="P61" s="183"/>
      <c r="Q61" s="43"/>
      <c r="R61" s="183"/>
      <c r="S61" s="183"/>
      <c r="T61" s="183"/>
      <c r="U61" s="185"/>
      <c r="V61" s="45" t="s">
        <v>11</v>
      </c>
      <c r="W61" s="183"/>
      <c r="X61" s="183"/>
      <c r="Y61" s="43"/>
      <c r="Z61" s="185"/>
      <c r="AA61" s="43" t="s">
        <v>10</v>
      </c>
      <c r="AB61" s="183"/>
      <c r="AC61" s="183"/>
      <c r="AD61" s="185"/>
      <c r="AE61" s="45"/>
      <c r="AF61" s="183"/>
      <c r="AG61" s="184"/>
      <c r="AH61" s="53"/>
      <c r="AI61" s="201" t="str">
        <f>VLOOKUP(Indice_Pais_Copiloto,Tabla_Paises,5)</f>
        <v xml:space="preserve">ESP </v>
      </c>
    </row>
    <row r="62" spans="2:35" s="100" customFormat="1" ht="15.95" customHeight="1" x14ac:dyDescent="0.2">
      <c r="B62" s="52"/>
      <c r="C62" s="333"/>
      <c r="D62" s="406"/>
      <c r="E62" s="347"/>
      <c r="F62" s="347"/>
      <c r="G62" s="347"/>
      <c r="H62" s="348"/>
      <c r="I62" s="343" t="str">
        <f>VLOOKUP(Indice_CCAA_Copiloto,TABLA_AUTONOMIAS_coPILOTO,3)</f>
        <v xml:space="preserve"> </v>
      </c>
      <c r="J62" s="344"/>
      <c r="K62" s="344"/>
      <c r="L62" s="344"/>
      <c r="M62" s="345"/>
      <c r="N62" s="343" t="str">
        <f>VLOOKUP(Indice_Pais_Copiloto,Tabla_Paises,2)</f>
        <v>España</v>
      </c>
      <c r="O62" s="344"/>
      <c r="P62" s="344"/>
      <c r="Q62" s="344"/>
      <c r="R62" s="344"/>
      <c r="S62" s="344"/>
      <c r="T62" s="344"/>
      <c r="U62" s="345"/>
      <c r="V62" s="346"/>
      <c r="W62" s="347"/>
      <c r="X62" s="347"/>
      <c r="Y62" s="347"/>
      <c r="Z62" s="348"/>
      <c r="AA62" s="409"/>
      <c r="AB62" s="410"/>
      <c r="AC62" s="410"/>
      <c r="AD62" s="411"/>
      <c r="AE62" s="412"/>
      <c r="AF62" s="413"/>
      <c r="AG62" s="414"/>
      <c r="AH62" s="53"/>
      <c r="AI62" s="201" t="str">
        <f>VLOOKUP(Indice_CCAA_Copiloto,TABLA_AUTONOMIAS_coPILOTO,2)</f>
        <v xml:space="preserve"> </v>
      </c>
    </row>
    <row r="63" spans="2:35" s="100" customFormat="1" ht="11.1" customHeight="1" x14ac:dyDescent="0.2">
      <c r="B63" s="52"/>
      <c r="C63" s="333"/>
      <c r="D63" s="38" t="s">
        <v>118</v>
      </c>
      <c r="E63" s="39"/>
      <c r="F63" s="39"/>
      <c r="G63" s="39"/>
      <c r="H63" s="40"/>
      <c r="I63" s="48" t="s">
        <v>119</v>
      </c>
      <c r="J63" s="39"/>
      <c r="K63" s="39"/>
      <c r="L63" s="39"/>
      <c r="M63" s="40"/>
      <c r="N63" s="48" t="s">
        <v>13</v>
      </c>
      <c r="O63" s="39"/>
      <c r="P63" s="39"/>
      <c r="Q63" s="39"/>
      <c r="R63" s="39"/>
      <c r="S63" s="39"/>
      <c r="T63" s="39"/>
      <c r="U63" s="40"/>
      <c r="V63" s="41" t="s">
        <v>824</v>
      </c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2"/>
      <c r="AH63" s="53"/>
    </row>
    <row r="64" spans="2:35" s="100" customFormat="1" ht="15.95" customHeight="1" x14ac:dyDescent="0.2">
      <c r="B64" s="52"/>
      <c r="C64" s="334"/>
      <c r="D64" s="315"/>
      <c r="E64" s="316"/>
      <c r="F64" s="316"/>
      <c r="G64" s="316"/>
      <c r="H64" s="317"/>
      <c r="I64" s="419"/>
      <c r="J64" s="316"/>
      <c r="K64" s="316"/>
      <c r="L64" s="316"/>
      <c r="M64" s="317"/>
      <c r="N64" s="419"/>
      <c r="O64" s="316"/>
      <c r="P64" s="316"/>
      <c r="Q64" s="316"/>
      <c r="R64" s="316"/>
      <c r="S64" s="316"/>
      <c r="T64" s="316"/>
      <c r="U64" s="317"/>
      <c r="V64" s="362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4"/>
      <c r="AH64" s="53"/>
    </row>
    <row r="65" spans="2:34" s="100" customFormat="1" ht="3.95" customHeight="1" x14ac:dyDescent="0.2">
      <c r="B65" s="5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53"/>
    </row>
    <row r="66" spans="2:34" s="100" customFormat="1" ht="18.95" customHeight="1" x14ac:dyDescent="0.2">
      <c r="B66" s="52"/>
      <c r="C66" s="306" t="s">
        <v>19</v>
      </c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8"/>
      <c r="AH66" s="53"/>
    </row>
    <row r="67" spans="2:34" s="100" customFormat="1" ht="3.95" customHeight="1" x14ac:dyDescent="0.2">
      <c r="B67" s="5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53"/>
    </row>
    <row r="68" spans="2:34" s="100" customFormat="1" ht="12.95" customHeight="1" x14ac:dyDescent="0.2">
      <c r="B68" s="52"/>
      <c r="C68" s="327" t="s">
        <v>20</v>
      </c>
      <c r="D68" s="319"/>
      <c r="E68" s="319"/>
      <c r="F68" s="319"/>
      <c r="G68" s="319"/>
      <c r="H68" s="328"/>
      <c r="I68" s="318" t="s">
        <v>827</v>
      </c>
      <c r="J68" s="319"/>
      <c r="K68" s="319"/>
      <c r="L68" s="319"/>
      <c r="M68" s="319"/>
      <c r="N68" s="319"/>
      <c r="O68" s="319"/>
      <c r="P68" s="320"/>
      <c r="Q68" s="278" t="s">
        <v>863</v>
      </c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71"/>
      <c r="AH68" s="53"/>
    </row>
    <row r="69" spans="2:34" s="100" customFormat="1" ht="12" customHeight="1" x14ac:dyDescent="0.2">
      <c r="B69" s="52"/>
      <c r="C69" s="321"/>
      <c r="D69" s="322"/>
      <c r="E69" s="322"/>
      <c r="F69" s="322"/>
      <c r="G69" s="322"/>
      <c r="H69" s="323"/>
      <c r="I69" s="355"/>
      <c r="J69" s="322"/>
      <c r="K69" s="322"/>
      <c r="L69" s="322"/>
      <c r="M69" s="322"/>
      <c r="N69" s="322"/>
      <c r="O69" s="322"/>
      <c r="P69" s="356"/>
      <c r="Q69" s="349" t="str">
        <f>' Datos de Organizadores '!C142</f>
        <v>Campeonato de España de Regularidad (Pre81 y Pre90)</v>
      </c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1"/>
      <c r="AH69" s="53"/>
    </row>
    <row r="70" spans="2:34" s="100" customFormat="1" ht="12" customHeight="1" x14ac:dyDescent="0.2">
      <c r="B70" s="52"/>
      <c r="C70" s="324"/>
      <c r="D70" s="325"/>
      <c r="E70" s="325"/>
      <c r="F70" s="325"/>
      <c r="G70" s="325"/>
      <c r="H70" s="326"/>
      <c r="I70" s="357"/>
      <c r="J70" s="325"/>
      <c r="K70" s="325"/>
      <c r="L70" s="325"/>
      <c r="M70" s="325"/>
      <c r="N70" s="325"/>
      <c r="O70" s="325"/>
      <c r="P70" s="358"/>
      <c r="Q70" s="349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1"/>
      <c r="AH70" s="53"/>
    </row>
    <row r="71" spans="2:34" s="100" customFormat="1" ht="12.95" customHeight="1" x14ac:dyDescent="0.2">
      <c r="B71" s="52"/>
      <c r="C71" s="533" t="s">
        <v>23</v>
      </c>
      <c r="D71" s="360"/>
      <c r="E71" s="360"/>
      <c r="F71" s="365"/>
      <c r="G71" s="329" t="s">
        <v>832</v>
      </c>
      <c r="H71" s="330"/>
      <c r="I71" s="330"/>
      <c r="J71" s="330"/>
      <c r="K71" s="331"/>
      <c r="L71" s="359" t="s">
        <v>111</v>
      </c>
      <c r="M71" s="360"/>
      <c r="N71" s="360"/>
      <c r="O71" s="360"/>
      <c r="P71" s="361"/>
      <c r="Q71" s="352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4"/>
      <c r="AH71" s="53"/>
    </row>
    <row r="72" spans="2:34" s="100" customFormat="1" ht="12" customHeight="1" x14ac:dyDescent="0.2">
      <c r="B72" s="52"/>
      <c r="C72" s="366"/>
      <c r="D72" s="367"/>
      <c r="E72" s="367"/>
      <c r="F72" s="368"/>
      <c r="G72" s="372"/>
      <c r="H72" s="373"/>
      <c r="I72" s="373"/>
      <c r="J72" s="373"/>
      <c r="K72" s="374"/>
      <c r="L72" s="337">
        <f>IF(Turbo=2,C72,IF(Turbo_correcto=0,C72*1.7,C72*1.4))</f>
        <v>0</v>
      </c>
      <c r="M72" s="338"/>
      <c r="N72" s="338"/>
      <c r="O72" s="338"/>
      <c r="P72" s="339"/>
      <c r="Q72" s="278" t="s">
        <v>907</v>
      </c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71"/>
      <c r="AH72" s="53"/>
    </row>
    <row r="73" spans="2:34" s="100" customFormat="1" ht="12" customHeight="1" x14ac:dyDescent="0.2">
      <c r="B73" s="52"/>
      <c r="C73" s="369"/>
      <c r="D73" s="370"/>
      <c r="E73" s="370"/>
      <c r="F73" s="371"/>
      <c r="G73" s="375"/>
      <c r="H73" s="376"/>
      <c r="I73" s="376"/>
      <c r="J73" s="376"/>
      <c r="K73" s="377"/>
      <c r="L73" s="340"/>
      <c r="M73" s="341"/>
      <c r="N73" s="341"/>
      <c r="O73" s="341"/>
      <c r="P73" s="342"/>
      <c r="Q73" s="378" t="str">
        <f>' Datos de Organizadores '!C15</f>
        <v>Seleccionar previamente el Campeonato al que se inscribe</v>
      </c>
      <c r="R73" s="379"/>
      <c r="S73" s="379"/>
      <c r="T73" s="379"/>
      <c r="U73" s="379"/>
      <c r="V73" s="379"/>
      <c r="W73" s="379"/>
      <c r="X73" s="379"/>
      <c r="Y73" s="379"/>
      <c r="Z73" s="379"/>
      <c r="AA73" s="379"/>
      <c r="AB73" s="379"/>
      <c r="AC73" s="379"/>
      <c r="AD73" s="379"/>
      <c r="AE73" s="379"/>
      <c r="AF73" s="379"/>
      <c r="AG73" s="380"/>
      <c r="AH73" s="53"/>
    </row>
    <row r="74" spans="2:34" s="100" customFormat="1" ht="12.95" customHeight="1" x14ac:dyDescent="0.2">
      <c r="B74" s="52"/>
      <c r="C74" s="335" t="s">
        <v>22</v>
      </c>
      <c r="D74" s="336"/>
      <c r="E74" s="336"/>
      <c r="F74" s="336"/>
      <c r="G74" s="359" t="s">
        <v>828</v>
      </c>
      <c r="H74" s="360"/>
      <c r="I74" s="360"/>
      <c r="J74" s="360"/>
      <c r="K74" s="365"/>
      <c r="L74" s="394"/>
      <c r="M74" s="395"/>
      <c r="N74" s="395"/>
      <c r="O74" s="395"/>
      <c r="P74" s="396"/>
      <c r="Q74" s="378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80"/>
      <c r="AH74" s="53"/>
    </row>
    <row r="75" spans="2:34" s="100" customFormat="1" ht="12" customHeight="1" x14ac:dyDescent="0.2">
      <c r="B75" s="52"/>
      <c r="C75" s="384"/>
      <c r="D75" s="385"/>
      <c r="E75" s="385"/>
      <c r="F75" s="385"/>
      <c r="G75" s="388"/>
      <c r="H75" s="389"/>
      <c r="I75" s="389"/>
      <c r="J75" s="389"/>
      <c r="K75" s="390"/>
      <c r="L75" s="397"/>
      <c r="M75" s="398"/>
      <c r="N75" s="398"/>
      <c r="O75" s="398"/>
      <c r="P75" s="399"/>
      <c r="Q75" s="381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382"/>
      <c r="AD75" s="382"/>
      <c r="AE75" s="382"/>
      <c r="AF75" s="382"/>
      <c r="AG75" s="383"/>
      <c r="AH75" s="53"/>
    </row>
    <row r="76" spans="2:34" s="100" customFormat="1" ht="12" customHeight="1" x14ac:dyDescent="0.2">
      <c r="B76" s="52"/>
      <c r="C76" s="386"/>
      <c r="D76" s="387"/>
      <c r="E76" s="387"/>
      <c r="F76" s="387"/>
      <c r="G76" s="391"/>
      <c r="H76" s="392"/>
      <c r="I76" s="392"/>
      <c r="J76" s="392"/>
      <c r="K76" s="393"/>
      <c r="L76" s="400"/>
      <c r="M76" s="401"/>
      <c r="N76" s="401"/>
      <c r="O76" s="401"/>
      <c r="P76" s="402"/>
      <c r="Q76" s="257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9"/>
      <c r="AH76" s="53"/>
    </row>
    <row r="77" spans="2:34" s="100" customFormat="1" ht="12.95" customHeight="1" x14ac:dyDescent="0.2">
      <c r="B77" s="52"/>
      <c r="C77" s="294" t="s">
        <v>829</v>
      </c>
      <c r="D77" s="295"/>
      <c r="E77" s="295"/>
      <c r="F77" s="296"/>
      <c r="G77" s="294" t="s">
        <v>888</v>
      </c>
      <c r="H77" s="295"/>
      <c r="I77" s="295"/>
      <c r="J77" s="295"/>
      <c r="K77" s="296"/>
      <c r="L77" s="309" t="s">
        <v>215</v>
      </c>
      <c r="M77" s="310"/>
      <c r="N77" s="310"/>
      <c r="O77" s="310"/>
      <c r="P77" s="311"/>
      <c r="Q77" s="282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4"/>
      <c r="AH77" s="53"/>
    </row>
    <row r="78" spans="2:34" s="100" customFormat="1" ht="8.1" customHeight="1" x14ac:dyDescent="0.2">
      <c r="B78" s="52"/>
      <c r="C78" s="288"/>
      <c r="D78" s="289"/>
      <c r="E78" s="289"/>
      <c r="F78" s="290"/>
      <c r="G78" s="288"/>
      <c r="H78" s="289"/>
      <c r="I78" s="289"/>
      <c r="J78" s="289"/>
      <c r="K78" s="290"/>
      <c r="L78" s="312"/>
      <c r="M78" s="313"/>
      <c r="N78" s="313"/>
      <c r="O78" s="313"/>
      <c r="P78" s="314"/>
      <c r="Q78" s="282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4"/>
      <c r="AH78" s="53"/>
    </row>
    <row r="79" spans="2:34" s="100" customFormat="1" ht="18" customHeight="1" x14ac:dyDescent="0.2">
      <c r="B79" s="52"/>
      <c r="C79" s="291"/>
      <c r="D79" s="292"/>
      <c r="E79" s="292"/>
      <c r="F79" s="293"/>
      <c r="G79" s="291"/>
      <c r="H79" s="292"/>
      <c r="I79" s="292"/>
      <c r="J79" s="292"/>
      <c r="K79" s="293"/>
      <c r="L79" s="309"/>
      <c r="M79" s="310"/>
      <c r="N79" s="309"/>
      <c r="O79" s="310"/>
      <c r="P79" s="310"/>
      <c r="Q79" s="285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7"/>
      <c r="AH79" s="53"/>
    </row>
    <row r="80" spans="2:34" s="100" customFormat="1" ht="3" customHeight="1" x14ac:dyDescent="0.2">
      <c r="B80" s="52"/>
      <c r="C80" s="297" t="s">
        <v>154</v>
      </c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9"/>
      <c r="AH80" s="53"/>
    </row>
    <row r="81" spans="2:34" s="100" customFormat="1" ht="3" customHeight="1" x14ac:dyDescent="0.2">
      <c r="B81" s="52"/>
      <c r="C81" s="300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2"/>
      <c r="AH81" s="53"/>
    </row>
    <row r="82" spans="2:34" s="100" customFormat="1" ht="3" customHeight="1" x14ac:dyDescent="0.2">
      <c r="B82" s="52"/>
      <c r="C82" s="300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2"/>
      <c r="AH82" s="53"/>
    </row>
    <row r="83" spans="2:34" s="100" customFormat="1" ht="30" customHeight="1" x14ac:dyDescent="0.2">
      <c r="B83" s="52"/>
      <c r="C83" s="300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2"/>
      <c r="AH83" s="53"/>
    </row>
    <row r="84" spans="2:34" s="100" customFormat="1" ht="3.95" customHeight="1" x14ac:dyDescent="0.2">
      <c r="B84" s="52"/>
      <c r="C84" s="303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5"/>
      <c r="AH84" s="53"/>
    </row>
    <row r="85" spans="2:34" s="100" customFormat="1" ht="3.95" customHeight="1" x14ac:dyDescent="0.2">
      <c r="B85" s="5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53"/>
    </row>
    <row r="86" spans="2:34" s="100" customFormat="1" ht="11.1" customHeight="1" x14ac:dyDescent="0.2">
      <c r="B86" s="52"/>
      <c r="C86" s="137" t="s">
        <v>120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6"/>
      <c r="Q86" s="137" t="s">
        <v>121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6"/>
      <c r="AH86" s="53"/>
    </row>
    <row r="87" spans="2:34" s="100" customFormat="1" ht="18" customHeight="1" x14ac:dyDescent="0.2">
      <c r="B87" s="52"/>
      <c r="C87" s="279" t="str">
        <f>V50&amp;" "&amp;D50&amp;" "&amp;L50</f>
        <v xml:space="preserve">  </v>
      </c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1"/>
      <c r="Q87" s="279" t="str">
        <f>V58&amp;" "&amp;D58&amp;" "&amp;L58</f>
        <v xml:space="preserve">  </v>
      </c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1"/>
      <c r="AH87" s="53"/>
    </row>
    <row r="88" spans="2:34" s="100" customFormat="1" ht="3.95" customHeight="1" x14ac:dyDescent="0.2">
      <c r="B88" s="5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53"/>
    </row>
    <row r="89" spans="2:34" s="100" customFormat="1" ht="18.95" customHeight="1" x14ac:dyDescent="0.2">
      <c r="B89" s="52"/>
      <c r="C89" s="306" t="s">
        <v>24</v>
      </c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  <c r="AG89" s="308"/>
      <c r="AH89" s="53"/>
    </row>
    <row r="90" spans="2:34" s="100" customFormat="1" ht="3.95" customHeight="1" x14ac:dyDescent="0.2">
      <c r="B90" s="5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53"/>
    </row>
    <row r="91" spans="2:34" s="100" customFormat="1" ht="15" customHeight="1" x14ac:dyDescent="0.2">
      <c r="B91" s="52"/>
      <c r="C91" s="278" t="s">
        <v>24</v>
      </c>
      <c r="D91" s="263"/>
      <c r="E91" s="263"/>
      <c r="F91" s="263"/>
      <c r="G91" s="263"/>
      <c r="H91" s="263"/>
      <c r="I91" s="264"/>
      <c r="J91" s="263" t="s">
        <v>27</v>
      </c>
      <c r="K91" s="263"/>
      <c r="L91" s="263"/>
      <c r="M91" s="263"/>
      <c r="N91" s="263"/>
      <c r="O91" s="263"/>
      <c r="P91" s="264"/>
      <c r="Q91" s="263" t="s">
        <v>103</v>
      </c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71"/>
      <c r="AH91" s="53"/>
    </row>
    <row r="92" spans="2:34" s="100" customFormat="1" ht="15" customHeight="1" x14ac:dyDescent="0.2">
      <c r="B92" s="52"/>
      <c r="C92" s="11"/>
      <c r="D92" s="265" t="s">
        <v>26</v>
      </c>
      <c r="E92" s="265"/>
      <c r="F92" s="265"/>
      <c r="G92" s="265"/>
      <c r="H92" s="265"/>
      <c r="I92" s="266"/>
      <c r="J92" s="12"/>
      <c r="K92" s="12"/>
      <c r="L92" s="265" t="s">
        <v>96</v>
      </c>
      <c r="M92" s="265"/>
      <c r="N92" s="265"/>
      <c r="O92" s="265"/>
      <c r="P92" s="266"/>
      <c r="Q92" s="12"/>
      <c r="R92" s="273" t="s">
        <v>30</v>
      </c>
      <c r="S92" s="273"/>
      <c r="T92" s="273"/>
      <c r="U92" s="273"/>
      <c r="V92" s="273"/>
      <c r="W92" s="273"/>
      <c r="X92" s="273"/>
      <c r="Y92" s="273"/>
      <c r="Z92" s="273"/>
      <c r="AA92" s="273"/>
      <c r="AB92" s="12"/>
      <c r="AC92" s="273" t="s">
        <v>31</v>
      </c>
      <c r="AD92" s="273"/>
      <c r="AE92" s="273"/>
      <c r="AF92" s="273"/>
      <c r="AG92" s="13"/>
      <c r="AH92" s="53"/>
    </row>
    <row r="93" spans="2:34" s="100" customFormat="1" ht="3" customHeight="1" x14ac:dyDescent="0.2">
      <c r="B93" s="52"/>
      <c r="C93" s="11"/>
      <c r="D93" s="265" t="s">
        <v>25</v>
      </c>
      <c r="E93" s="265"/>
      <c r="F93" s="265"/>
      <c r="G93" s="265"/>
      <c r="H93" s="265"/>
      <c r="I93" s="266"/>
      <c r="J93" s="12"/>
      <c r="K93" s="12"/>
      <c r="L93" s="32"/>
      <c r="M93" s="32"/>
      <c r="N93" s="32"/>
      <c r="O93" s="32"/>
      <c r="P93" s="84"/>
      <c r="Q93" s="12"/>
      <c r="AC93" s="136"/>
      <c r="AD93" s="136"/>
      <c r="AE93" s="136"/>
      <c r="AF93" s="136"/>
      <c r="AG93" s="13"/>
      <c r="AH93" s="53"/>
    </row>
    <row r="94" spans="2:34" s="100" customFormat="1" ht="15" customHeight="1" x14ac:dyDescent="0.2">
      <c r="B94" s="52"/>
      <c r="C94" s="11"/>
      <c r="D94" s="267"/>
      <c r="E94" s="267"/>
      <c r="F94" s="267"/>
      <c r="G94" s="267"/>
      <c r="H94" s="267"/>
      <c r="I94" s="268"/>
      <c r="J94" s="12"/>
      <c r="K94" s="12"/>
      <c r="L94" s="265"/>
      <c r="M94" s="265"/>
      <c r="N94" s="265"/>
      <c r="O94" s="265"/>
      <c r="P94" s="266"/>
      <c r="Q94" s="12"/>
      <c r="R94" s="33" t="s">
        <v>896</v>
      </c>
      <c r="S94" s="32"/>
      <c r="T94" s="32"/>
      <c r="U94" s="32"/>
      <c r="V94" s="32"/>
      <c r="W94" s="32"/>
      <c r="X94" s="32"/>
      <c r="Y94" s="32"/>
      <c r="Z94" s="12"/>
      <c r="AA94" s="12"/>
      <c r="AB94" s="12"/>
      <c r="AC94" s="272">
        <f>IF(Campeonato=7,0,IF(OR(Campeonato=1,Campeonato=2,Campeonato=3,Campeonato=4),IF(Publicidad=1,' Derechos de Inscripción '!J29,' Derechos de Inscripción '!M29),IF((Campeonato=5),IF(Publicidad=1,' Derechos de Inscripción '!J30,' Derechos de Inscripción '!M30),IF(Publicidad=1,' Derechos de Inscripción '!J31,' Derechos de Inscripción '!M31))))</f>
        <v>0</v>
      </c>
      <c r="AD94" s="272"/>
      <c r="AE94" s="272"/>
      <c r="AF94" s="272"/>
      <c r="AG94" s="13"/>
      <c r="AH94" s="53"/>
    </row>
    <row r="95" spans="2:34" s="100" customFormat="1" ht="15" customHeight="1" x14ac:dyDescent="0.2">
      <c r="B95" s="52"/>
      <c r="C95" s="275" t="s">
        <v>114</v>
      </c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7"/>
      <c r="Q95" s="12"/>
      <c r="R95" s="33" t="s">
        <v>97</v>
      </c>
      <c r="S95" s="12"/>
      <c r="T95" s="12"/>
      <c r="U95" s="12"/>
      <c r="V95" s="12"/>
      <c r="W95" s="12"/>
      <c r="X95" s="32"/>
      <c r="Y95" s="32"/>
      <c r="Z95" s="32"/>
      <c r="AA95" s="32"/>
      <c r="AB95" s="32"/>
      <c r="AC95" s="272">
        <f>IF(Auxiliar=TRUE,' Derechos de Inscripción '!J32,0)</f>
        <v>0</v>
      </c>
      <c r="AD95" s="272"/>
      <c r="AE95" s="272"/>
      <c r="AF95" s="272"/>
      <c r="AG95" s="13"/>
      <c r="AH95" s="53"/>
    </row>
    <row r="96" spans="2:34" s="100" customFormat="1" ht="14.1" customHeight="1" x14ac:dyDescent="0.2">
      <c r="B96" s="52"/>
      <c r="C96" s="85" t="s">
        <v>101</v>
      </c>
      <c r="D96" s="32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2"/>
      <c r="Q96" s="12"/>
      <c r="R96" s="3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270"/>
      <c r="AD96" s="270"/>
      <c r="AE96" s="270"/>
      <c r="AF96" s="270"/>
      <c r="AG96" s="13"/>
      <c r="AH96" s="53"/>
    </row>
    <row r="97" spans="2:34" s="100" customFormat="1" ht="14.1" customHeight="1" x14ac:dyDescent="0.2">
      <c r="B97" s="52"/>
      <c r="C97" s="85" t="s">
        <v>102</v>
      </c>
      <c r="D97" s="32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2"/>
      <c r="Q97" s="12"/>
      <c r="R97" s="33"/>
      <c r="S97" s="12"/>
      <c r="T97" s="12"/>
      <c r="U97" s="12"/>
      <c r="V97" s="32"/>
      <c r="W97" s="12"/>
      <c r="X97" s="269"/>
      <c r="Y97" s="269"/>
      <c r="Z97" s="269"/>
      <c r="AB97" s="12"/>
      <c r="AC97" s="274">
        <f>IF(IVA=FALSE,0,AC96*X97)</f>
        <v>0</v>
      </c>
      <c r="AD97" s="274"/>
      <c r="AE97" s="274"/>
      <c r="AF97" s="274"/>
      <c r="AG97" s="13"/>
      <c r="AH97" s="53"/>
    </row>
    <row r="98" spans="2:34" s="100" customFormat="1" ht="14.1" customHeight="1" thickBot="1" x14ac:dyDescent="0.25">
      <c r="B98" s="52"/>
      <c r="C98" s="85" t="s">
        <v>100</v>
      </c>
      <c r="D98" s="32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2"/>
      <c r="Q98" s="12"/>
      <c r="R98" s="33"/>
      <c r="S98" s="12"/>
      <c r="T98" s="12"/>
      <c r="U98" s="12"/>
      <c r="V98" s="34" t="s">
        <v>28</v>
      </c>
      <c r="W98" s="35"/>
      <c r="X98" s="35"/>
      <c r="Y98" s="35"/>
      <c r="Z98" s="35"/>
      <c r="AA98" s="35"/>
      <c r="AB98" s="35"/>
      <c r="AC98" s="260">
        <f>IF(Blanco=TRUE,"",SUM(AC94:AF95))</f>
        <v>0</v>
      </c>
      <c r="AD98" s="260"/>
      <c r="AE98" s="260"/>
      <c r="AF98" s="260"/>
      <c r="AG98" s="13"/>
      <c r="AH98" s="53"/>
    </row>
    <row r="99" spans="2:34" s="100" customFormat="1" ht="14.1" customHeight="1" thickTop="1" x14ac:dyDescent="0.2">
      <c r="B99" s="52"/>
      <c r="C99" s="85" t="s">
        <v>99</v>
      </c>
      <c r="D99" s="32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2"/>
      <c r="Q99" s="12"/>
      <c r="AG99" s="13"/>
      <c r="AH99" s="53"/>
    </row>
    <row r="100" spans="2:34" s="100" customFormat="1" ht="14.1" customHeight="1" x14ac:dyDescent="0.2">
      <c r="B100" s="52"/>
      <c r="C100" s="509" t="s">
        <v>98</v>
      </c>
      <c r="D100" s="510"/>
      <c r="E100" s="512"/>
      <c r="F100" s="512"/>
      <c r="G100" s="86" t="s">
        <v>8</v>
      </c>
      <c r="H100" s="12"/>
      <c r="I100" s="512"/>
      <c r="J100" s="512"/>
      <c r="K100" s="512"/>
      <c r="L100" s="512"/>
      <c r="M100" s="512"/>
      <c r="N100" s="512"/>
      <c r="O100" s="512"/>
      <c r="P100" s="532"/>
      <c r="Q100" s="95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7"/>
      <c r="AH100" s="53"/>
    </row>
    <row r="101" spans="2:34" s="100" customFormat="1" ht="15" customHeight="1" x14ac:dyDescent="0.2">
      <c r="B101" s="52"/>
      <c r="C101" s="105" t="s">
        <v>113</v>
      </c>
      <c r="D101" s="106"/>
      <c r="E101" s="106"/>
      <c r="F101" s="106"/>
      <c r="G101" s="108"/>
      <c r="H101" s="108"/>
      <c r="I101" s="108"/>
      <c r="J101" s="108"/>
      <c r="K101" s="108"/>
      <c r="L101" s="108"/>
      <c r="M101" s="108"/>
      <c r="N101" s="108"/>
      <c r="O101" s="108"/>
      <c r="P101" s="107"/>
      <c r="Q101" s="513" t="s">
        <v>852</v>
      </c>
      <c r="R101" s="514"/>
      <c r="S101" s="514"/>
      <c r="T101" s="514"/>
      <c r="U101" s="276" t="str">
        <f>IF(Blanco=TRUE,"",' Derechos de Inscripción '!B18)</f>
        <v>III Rallye Rías Altas Histórico</v>
      </c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515"/>
      <c r="AH101" s="53"/>
    </row>
    <row r="102" spans="2:34" s="100" customFormat="1" ht="9.9499999999999993" customHeight="1" x14ac:dyDescent="0.2">
      <c r="B102" s="52"/>
      <c r="C102" s="11"/>
      <c r="D102" s="265" t="s">
        <v>115</v>
      </c>
      <c r="E102" s="265"/>
      <c r="F102" s="265"/>
      <c r="G102" s="265"/>
      <c r="H102" s="32"/>
      <c r="I102" s="32"/>
      <c r="J102" s="32"/>
      <c r="K102" s="32"/>
      <c r="L102" s="32"/>
      <c r="M102" s="32"/>
      <c r="N102" s="32"/>
      <c r="O102" s="32"/>
      <c r="P102" s="18"/>
      <c r="Q102" s="109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110"/>
      <c r="AH102" s="53"/>
    </row>
    <row r="103" spans="2:34" s="100" customFormat="1" ht="9.9499999999999993" customHeight="1" x14ac:dyDescent="0.2">
      <c r="B103" s="52"/>
      <c r="C103" s="11"/>
      <c r="D103" s="265"/>
      <c r="E103" s="265"/>
      <c r="F103" s="265"/>
      <c r="G103" s="265"/>
      <c r="H103" s="113"/>
      <c r="I103" s="32"/>
      <c r="J103" s="32"/>
      <c r="K103" s="32"/>
      <c r="L103" s="32"/>
      <c r="M103" s="32"/>
      <c r="N103" s="32"/>
      <c r="O103" s="32"/>
      <c r="P103" s="18"/>
      <c r="Q103" s="109"/>
      <c r="R103" s="511" t="str">
        <f>' Derechos de Inscripción '!H36</f>
        <v>ES43 0182 4655 7702 0158 5742</v>
      </c>
      <c r="S103" s="511"/>
      <c r="T103" s="511"/>
      <c r="U103" s="511"/>
      <c r="V103" s="511"/>
      <c r="W103" s="511"/>
      <c r="X103" s="511"/>
      <c r="Y103" s="511"/>
      <c r="Z103" s="511"/>
      <c r="AA103" s="511"/>
      <c r="AB103" s="511"/>
      <c r="AC103" s="511"/>
      <c r="AD103" s="511"/>
      <c r="AE103" s="511"/>
      <c r="AF103" s="511"/>
      <c r="AG103" s="110"/>
      <c r="AH103" s="53"/>
    </row>
    <row r="104" spans="2:34" s="100" customFormat="1" ht="15" customHeight="1" x14ac:dyDescent="0.2">
      <c r="B104" s="52"/>
      <c r="C104" s="11"/>
      <c r="D104" s="265" t="s">
        <v>116</v>
      </c>
      <c r="E104" s="265"/>
      <c r="F104" s="265"/>
      <c r="G104" s="265"/>
      <c r="H104" s="113"/>
      <c r="I104" s="32"/>
      <c r="J104" s="32"/>
      <c r="K104" s="32"/>
      <c r="L104" s="32"/>
      <c r="M104" s="32"/>
      <c r="N104" s="32"/>
      <c r="O104" s="32"/>
      <c r="P104" s="18"/>
      <c r="Q104" s="109"/>
      <c r="R104" s="511"/>
      <c r="S104" s="511"/>
      <c r="T104" s="511"/>
      <c r="U104" s="511"/>
      <c r="V104" s="511"/>
      <c r="W104" s="511"/>
      <c r="X104" s="511"/>
      <c r="Y104" s="511"/>
      <c r="Z104" s="511"/>
      <c r="AA104" s="511"/>
      <c r="AB104" s="511"/>
      <c r="AC104" s="511"/>
      <c r="AD104" s="511"/>
      <c r="AE104" s="511"/>
      <c r="AF104" s="511"/>
      <c r="AG104" s="110"/>
      <c r="AH104" s="53"/>
    </row>
    <row r="105" spans="2:34" s="100" customFormat="1" ht="3" customHeight="1" x14ac:dyDescent="0.2">
      <c r="B105" s="52"/>
      <c r="C105" s="30"/>
      <c r="D105" s="36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7"/>
      <c r="Q105" s="111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112"/>
      <c r="AH105" s="53"/>
    </row>
    <row r="106" spans="2:34" s="134" customFormat="1" ht="0" hidden="1" customHeight="1" x14ac:dyDescent="0.2"/>
    <row r="107" spans="2:34" s="134" customFormat="1" ht="0" hidden="1" customHeight="1" x14ac:dyDescent="0.2"/>
    <row r="108" spans="2:34" s="134" customFormat="1" ht="0" hidden="1" customHeight="1" x14ac:dyDescent="0.2"/>
    <row r="109" spans="2:34" s="134" customFormat="1" ht="0" hidden="1" customHeight="1" x14ac:dyDescent="0.2"/>
    <row r="110" spans="2:34" s="134" customFormat="1" ht="0" hidden="1" customHeight="1" x14ac:dyDescent="0.2"/>
    <row r="111" spans="2:34" s="134" customFormat="1" ht="0" hidden="1" customHeight="1" x14ac:dyDescent="0.2"/>
    <row r="112" spans="2:34" s="134" customFormat="1" ht="0" hidden="1" customHeight="1" x14ac:dyDescent="0.2"/>
    <row r="113" spans="2:34" s="134" customFormat="1" ht="0" hidden="1" customHeight="1" x14ac:dyDescent="0.2"/>
    <row r="114" spans="2:34" s="134" customFormat="1" ht="0" hidden="1" customHeight="1" x14ac:dyDescent="0.2"/>
    <row r="115" spans="2:34" s="134" customFormat="1" ht="0" hidden="1" customHeight="1" x14ac:dyDescent="0.2"/>
    <row r="116" spans="2:34" s="134" customFormat="1" ht="0" hidden="1" customHeight="1" x14ac:dyDescent="0.2"/>
    <row r="117" spans="2:34" s="134" customFormat="1" ht="0" hidden="1" customHeight="1" x14ac:dyDescent="0.2"/>
    <row r="118" spans="2:34" s="100" customFormat="1" ht="3.95" customHeight="1" x14ac:dyDescent="0.2">
      <c r="B118" s="5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53"/>
    </row>
    <row r="119" spans="2:34" s="100" customFormat="1" ht="18.95" customHeight="1" x14ac:dyDescent="0.2">
      <c r="B119" s="52"/>
      <c r="C119" s="306" t="s">
        <v>138</v>
      </c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/>
      <c r="AA119" s="307"/>
      <c r="AB119" s="307"/>
      <c r="AC119" s="307"/>
      <c r="AD119" s="307"/>
      <c r="AE119" s="307"/>
      <c r="AF119" s="307"/>
      <c r="AG119" s="308"/>
      <c r="AH119" s="53"/>
    </row>
    <row r="120" spans="2:34" s="100" customFormat="1" ht="3.95" customHeight="1" x14ac:dyDescent="0.2">
      <c r="B120" s="5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53"/>
    </row>
    <row r="121" spans="2:34" s="100" customFormat="1" ht="15" customHeight="1" x14ac:dyDescent="0.2">
      <c r="B121" s="52"/>
      <c r="C121" s="506" t="s">
        <v>33</v>
      </c>
      <c r="D121" s="507"/>
      <c r="E121" s="507"/>
      <c r="F121" s="507"/>
      <c r="G121" s="507"/>
      <c r="H121" s="507"/>
      <c r="I121" s="507"/>
      <c r="J121" s="507"/>
      <c r="K121" s="507"/>
      <c r="L121" s="508"/>
      <c r="M121" s="506" t="s">
        <v>34</v>
      </c>
      <c r="N121" s="507"/>
      <c r="O121" s="507"/>
      <c r="P121" s="507"/>
      <c r="Q121" s="507"/>
      <c r="R121" s="507"/>
      <c r="S121" s="507"/>
      <c r="T121" s="507"/>
      <c r="U121" s="507"/>
      <c r="V121" s="507"/>
      <c r="W121" s="508"/>
      <c r="X121" s="506" t="s">
        <v>136</v>
      </c>
      <c r="Y121" s="507"/>
      <c r="Z121" s="507"/>
      <c r="AA121" s="507"/>
      <c r="AB121" s="507"/>
      <c r="AC121" s="507"/>
      <c r="AD121" s="507"/>
      <c r="AE121" s="507"/>
      <c r="AF121" s="507"/>
      <c r="AG121" s="508"/>
      <c r="AH121" s="53"/>
    </row>
    <row r="122" spans="2:34" s="100" customFormat="1" ht="11.1" customHeight="1" x14ac:dyDescent="0.2">
      <c r="B122" s="52"/>
      <c r="C122" s="17" t="s">
        <v>2</v>
      </c>
      <c r="D122" s="25"/>
      <c r="E122" s="25"/>
      <c r="F122" s="25"/>
      <c r="G122" s="25"/>
      <c r="H122" s="25"/>
      <c r="I122" s="19"/>
      <c r="J122" s="25"/>
      <c r="K122" s="25"/>
      <c r="L122" s="26"/>
      <c r="M122" s="17" t="s">
        <v>2</v>
      </c>
      <c r="N122" s="25"/>
      <c r="O122" s="25"/>
      <c r="P122" s="20"/>
      <c r="Q122" s="25"/>
      <c r="R122" s="25"/>
      <c r="S122" s="25"/>
      <c r="T122" s="25"/>
      <c r="U122" s="25"/>
      <c r="V122" s="25"/>
      <c r="W122" s="26"/>
      <c r="X122" s="17" t="s">
        <v>2</v>
      </c>
      <c r="Y122" s="25"/>
      <c r="Z122" s="142"/>
      <c r="AA122" s="142"/>
      <c r="AB122" s="142"/>
      <c r="AC122" s="25"/>
      <c r="AD122" s="25"/>
      <c r="AE122" s="25"/>
      <c r="AF122" s="25"/>
      <c r="AG122" s="26"/>
      <c r="AH122" s="53"/>
    </row>
    <row r="123" spans="2:34" s="100" customFormat="1" ht="14.1" customHeight="1" x14ac:dyDescent="0.2">
      <c r="B123" s="52"/>
      <c r="C123" s="496"/>
      <c r="D123" s="497"/>
      <c r="E123" s="497"/>
      <c r="F123" s="497"/>
      <c r="G123" s="497"/>
      <c r="H123" s="497"/>
      <c r="I123" s="497"/>
      <c r="J123" s="497"/>
      <c r="K123" s="497"/>
      <c r="L123" s="498"/>
      <c r="M123" s="496"/>
      <c r="N123" s="497"/>
      <c r="O123" s="497"/>
      <c r="P123" s="497"/>
      <c r="Q123" s="497"/>
      <c r="R123" s="497"/>
      <c r="S123" s="497"/>
      <c r="T123" s="497"/>
      <c r="U123" s="497"/>
      <c r="V123" s="497"/>
      <c r="W123" s="498"/>
      <c r="X123" s="496"/>
      <c r="Y123" s="497"/>
      <c r="Z123" s="497"/>
      <c r="AA123" s="497"/>
      <c r="AB123" s="497"/>
      <c r="AC123" s="497"/>
      <c r="AD123" s="497"/>
      <c r="AE123" s="497"/>
      <c r="AF123" s="497"/>
      <c r="AG123" s="498"/>
      <c r="AH123" s="53"/>
    </row>
    <row r="124" spans="2:34" s="100" customFormat="1" ht="11.1" customHeight="1" x14ac:dyDescent="0.2">
      <c r="B124" s="52"/>
      <c r="C124" s="17" t="s">
        <v>135</v>
      </c>
      <c r="D124" s="25"/>
      <c r="E124" s="25"/>
      <c r="F124" s="25"/>
      <c r="G124" s="25"/>
      <c r="H124" s="25"/>
      <c r="I124" s="19"/>
      <c r="J124" s="25"/>
      <c r="K124" s="25"/>
      <c r="L124" s="26"/>
      <c r="M124" s="17" t="s">
        <v>135</v>
      </c>
      <c r="N124" s="25"/>
      <c r="O124" s="25"/>
      <c r="P124" s="20"/>
      <c r="Q124" s="25"/>
      <c r="R124" s="25"/>
      <c r="S124" s="25"/>
      <c r="T124" s="25"/>
      <c r="U124" s="25"/>
      <c r="V124" s="25"/>
      <c r="W124" s="26"/>
      <c r="X124" s="17" t="s">
        <v>135</v>
      </c>
      <c r="Y124" s="25"/>
      <c r="Z124" s="142"/>
      <c r="AA124" s="142"/>
      <c r="AB124" s="142"/>
      <c r="AC124" s="25"/>
      <c r="AD124" s="25"/>
      <c r="AE124" s="25"/>
      <c r="AF124" s="25"/>
      <c r="AG124" s="26"/>
      <c r="AH124" s="53"/>
    </row>
    <row r="125" spans="2:34" s="100" customFormat="1" ht="14.1" customHeight="1" x14ac:dyDescent="0.2">
      <c r="B125" s="52"/>
      <c r="C125" s="496"/>
      <c r="D125" s="497"/>
      <c r="E125" s="497"/>
      <c r="F125" s="497"/>
      <c r="G125" s="497"/>
      <c r="H125" s="497"/>
      <c r="I125" s="497"/>
      <c r="J125" s="497"/>
      <c r="K125" s="497"/>
      <c r="L125" s="498"/>
      <c r="M125" s="496"/>
      <c r="N125" s="497"/>
      <c r="O125" s="497"/>
      <c r="P125" s="497"/>
      <c r="Q125" s="497"/>
      <c r="R125" s="497"/>
      <c r="S125" s="497"/>
      <c r="T125" s="497"/>
      <c r="U125" s="497"/>
      <c r="V125" s="497"/>
      <c r="W125" s="498"/>
      <c r="X125" s="496"/>
      <c r="Y125" s="497"/>
      <c r="Z125" s="497"/>
      <c r="AA125" s="497"/>
      <c r="AB125" s="497"/>
      <c r="AC125" s="497"/>
      <c r="AD125" s="497"/>
      <c r="AE125" s="497"/>
      <c r="AF125" s="497"/>
      <c r="AG125" s="498"/>
      <c r="AH125" s="53"/>
    </row>
    <row r="126" spans="2:34" s="100" customFormat="1" ht="11.1" customHeight="1" x14ac:dyDescent="0.2">
      <c r="B126" s="52"/>
      <c r="C126" s="17" t="s">
        <v>17</v>
      </c>
      <c r="D126" s="25"/>
      <c r="E126" s="25"/>
      <c r="F126" s="25"/>
      <c r="G126" s="25"/>
      <c r="H126" s="25"/>
      <c r="I126" s="19"/>
      <c r="J126" s="25"/>
      <c r="K126" s="25"/>
      <c r="L126" s="26"/>
      <c r="M126" s="17" t="s">
        <v>17</v>
      </c>
      <c r="N126" s="25"/>
      <c r="O126" s="25"/>
      <c r="P126" s="20"/>
      <c r="Q126" s="25"/>
      <c r="R126" s="25"/>
      <c r="S126" s="25"/>
      <c r="T126" s="25"/>
      <c r="U126" s="25"/>
      <c r="V126" s="25"/>
      <c r="W126" s="26"/>
      <c r="X126" s="17" t="s">
        <v>17</v>
      </c>
      <c r="Y126" s="25"/>
      <c r="Z126" s="142"/>
      <c r="AA126" s="142"/>
      <c r="AB126" s="142"/>
      <c r="AC126" s="25"/>
      <c r="AD126" s="25"/>
      <c r="AE126" s="25"/>
      <c r="AF126" s="25"/>
      <c r="AG126" s="26"/>
      <c r="AH126" s="53"/>
    </row>
    <row r="127" spans="2:34" s="100" customFormat="1" ht="14.1" customHeight="1" x14ac:dyDescent="0.2">
      <c r="B127" s="52"/>
      <c r="C127" s="496"/>
      <c r="D127" s="497"/>
      <c r="E127" s="497"/>
      <c r="F127" s="497"/>
      <c r="G127" s="497"/>
      <c r="H127" s="497"/>
      <c r="I127" s="497"/>
      <c r="J127" s="497"/>
      <c r="K127" s="497"/>
      <c r="L127" s="498"/>
      <c r="M127" s="496"/>
      <c r="N127" s="497"/>
      <c r="O127" s="497"/>
      <c r="P127" s="497"/>
      <c r="Q127" s="497"/>
      <c r="R127" s="497"/>
      <c r="S127" s="497"/>
      <c r="T127" s="497"/>
      <c r="U127" s="497"/>
      <c r="V127" s="497"/>
      <c r="W127" s="498"/>
      <c r="X127" s="496"/>
      <c r="Y127" s="497"/>
      <c r="Z127" s="497"/>
      <c r="AA127" s="497"/>
      <c r="AB127" s="497"/>
      <c r="AC127" s="497"/>
      <c r="AD127" s="497"/>
      <c r="AE127" s="497"/>
      <c r="AF127" s="497"/>
      <c r="AG127" s="498"/>
      <c r="AH127" s="53"/>
    </row>
    <row r="128" spans="2:34" s="100" customFormat="1" ht="11.1" customHeight="1" x14ac:dyDescent="0.2">
      <c r="B128" s="52"/>
      <c r="C128" s="17" t="s">
        <v>10</v>
      </c>
      <c r="D128" s="25"/>
      <c r="E128" s="25"/>
      <c r="F128" s="25"/>
      <c r="G128" s="25"/>
      <c r="H128" s="25"/>
      <c r="I128" s="19"/>
      <c r="J128" s="25"/>
      <c r="K128" s="25"/>
      <c r="L128" s="26"/>
      <c r="M128" s="17" t="s">
        <v>10</v>
      </c>
      <c r="N128" s="25"/>
      <c r="O128" s="25"/>
      <c r="P128" s="19"/>
      <c r="Q128" s="25"/>
      <c r="R128" s="25"/>
      <c r="S128" s="25"/>
      <c r="T128" s="25"/>
      <c r="U128" s="25"/>
      <c r="V128" s="25"/>
      <c r="W128" s="26"/>
      <c r="X128" s="17" t="s">
        <v>10</v>
      </c>
      <c r="Y128" s="25"/>
      <c r="Z128" s="142"/>
      <c r="AA128" s="142"/>
      <c r="AB128" s="142"/>
      <c r="AC128" s="25"/>
      <c r="AD128" s="25"/>
      <c r="AE128" s="25"/>
      <c r="AF128" s="25"/>
      <c r="AG128" s="26"/>
      <c r="AH128" s="53"/>
    </row>
    <row r="129" spans="2:34" s="100" customFormat="1" ht="14.1" customHeight="1" x14ac:dyDescent="0.2">
      <c r="B129" s="52"/>
      <c r="C129" s="499"/>
      <c r="D129" s="500"/>
      <c r="E129" s="500"/>
      <c r="F129" s="500"/>
      <c r="G129" s="500"/>
      <c r="H129" s="500"/>
      <c r="I129" s="500"/>
      <c r="J129" s="500"/>
      <c r="K129" s="500"/>
      <c r="L129" s="501"/>
      <c r="M129" s="499"/>
      <c r="N129" s="500"/>
      <c r="O129" s="500"/>
      <c r="P129" s="500"/>
      <c r="Q129" s="500"/>
      <c r="R129" s="500"/>
      <c r="S129" s="500"/>
      <c r="T129" s="500"/>
      <c r="U129" s="500"/>
      <c r="V129" s="500"/>
      <c r="W129" s="501"/>
      <c r="X129" s="499"/>
      <c r="Y129" s="500"/>
      <c r="Z129" s="500"/>
      <c r="AA129" s="500"/>
      <c r="AB129" s="500"/>
      <c r="AC129" s="500"/>
      <c r="AD129" s="500"/>
      <c r="AE129" s="500"/>
      <c r="AF129" s="500"/>
      <c r="AG129" s="501"/>
      <c r="AH129" s="53"/>
    </row>
    <row r="130" spans="2:34" s="100" customFormat="1" ht="15" customHeight="1" x14ac:dyDescent="0.2">
      <c r="B130" s="52"/>
      <c r="C130" s="506" t="s">
        <v>124</v>
      </c>
      <c r="D130" s="507"/>
      <c r="E130" s="507"/>
      <c r="F130" s="507"/>
      <c r="G130" s="507"/>
      <c r="H130" s="507"/>
      <c r="I130" s="507"/>
      <c r="J130" s="507"/>
      <c r="K130" s="507"/>
      <c r="L130" s="508"/>
      <c r="M130" s="506" t="s">
        <v>125</v>
      </c>
      <c r="N130" s="507"/>
      <c r="O130" s="507"/>
      <c r="P130" s="507"/>
      <c r="Q130" s="507"/>
      <c r="R130" s="507"/>
      <c r="S130" s="507"/>
      <c r="T130" s="507"/>
      <c r="U130" s="507"/>
      <c r="V130" s="507"/>
      <c r="W130" s="508"/>
      <c r="X130" s="506" t="s">
        <v>137</v>
      </c>
      <c r="Y130" s="507"/>
      <c r="Z130" s="507"/>
      <c r="AA130" s="507"/>
      <c r="AB130" s="507"/>
      <c r="AC130" s="507"/>
      <c r="AD130" s="507"/>
      <c r="AE130" s="507"/>
      <c r="AF130" s="507"/>
      <c r="AG130" s="508"/>
      <c r="AH130" s="53"/>
    </row>
    <row r="131" spans="2:34" s="100" customFormat="1" ht="11.1" customHeight="1" x14ac:dyDescent="0.2">
      <c r="B131" s="52"/>
      <c r="C131" s="17" t="s">
        <v>20</v>
      </c>
      <c r="D131" s="25"/>
      <c r="E131" s="25"/>
      <c r="F131" s="25"/>
      <c r="G131" s="25"/>
      <c r="H131" s="25"/>
      <c r="I131" s="19"/>
      <c r="J131" s="25"/>
      <c r="K131" s="25"/>
      <c r="L131" s="26"/>
      <c r="M131" s="17" t="s">
        <v>20</v>
      </c>
      <c r="N131" s="25"/>
      <c r="O131" s="25"/>
      <c r="P131" s="20"/>
      <c r="Q131" s="25"/>
      <c r="R131" s="25"/>
      <c r="S131" s="25"/>
      <c r="T131" s="25"/>
      <c r="U131" s="25"/>
      <c r="V131" s="25"/>
      <c r="W131" s="26"/>
      <c r="X131" s="17" t="s">
        <v>20</v>
      </c>
      <c r="Y131" s="25"/>
      <c r="Z131" s="142"/>
      <c r="AA131" s="142"/>
      <c r="AB131" s="142"/>
      <c r="AC131" s="25"/>
      <c r="AD131" s="25"/>
      <c r="AE131" s="25"/>
      <c r="AF131" s="25"/>
      <c r="AG131" s="26"/>
      <c r="AH131" s="53"/>
    </row>
    <row r="132" spans="2:34" s="100" customFormat="1" ht="14.1" customHeight="1" x14ac:dyDescent="0.2">
      <c r="B132" s="52"/>
      <c r="C132" s="496"/>
      <c r="D132" s="497"/>
      <c r="E132" s="497"/>
      <c r="F132" s="497"/>
      <c r="G132" s="497"/>
      <c r="H132" s="497"/>
      <c r="I132" s="497"/>
      <c r="J132" s="497"/>
      <c r="K132" s="497"/>
      <c r="L132" s="498"/>
      <c r="M132" s="496"/>
      <c r="N132" s="497"/>
      <c r="O132" s="497"/>
      <c r="P132" s="497"/>
      <c r="Q132" s="497"/>
      <c r="R132" s="497"/>
      <c r="S132" s="497"/>
      <c r="T132" s="497"/>
      <c r="U132" s="497"/>
      <c r="V132" s="497"/>
      <c r="W132" s="49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8"/>
      <c r="AH132" s="53"/>
    </row>
    <row r="133" spans="2:34" s="100" customFormat="1" ht="11.1" customHeight="1" x14ac:dyDescent="0.2">
      <c r="B133" s="52"/>
      <c r="C133" s="17" t="s">
        <v>21</v>
      </c>
      <c r="D133" s="25"/>
      <c r="E133" s="25"/>
      <c r="F133" s="25"/>
      <c r="G133" s="25"/>
      <c r="H133" s="25"/>
      <c r="I133" s="19"/>
      <c r="J133" s="25"/>
      <c r="K133" s="25"/>
      <c r="L133" s="26"/>
      <c r="M133" s="17" t="s">
        <v>21</v>
      </c>
      <c r="N133" s="25"/>
      <c r="O133" s="25"/>
      <c r="P133" s="20"/>
      <c r="Q133" s="25"/>
      <c r="R133" s="25"/>
      <c r="S133" s="25"/>
      <c r="T133" s="25"/>
      <c r="U133" s="25"/>
      <c r="V133" s="25"/>
      <c r="W133" s="26"/>
      <c r="X133" s="17" t="s">
        <v>21</v>
      </c>
      <c r="Y133" s="25"/>
      <c r="Z133" s="142"/>
      <c r="AA133" s="142"/>
      <c r="AB133" s="142"/>
      <c r="AC133" s="25"/>
      <c r="AD133" s="25"/>
      <c r="AE133" s="25"/>
      <c r="AF133" s="25"/>
      <c r="AG133" s="26"/>
      <c r="AH133" s="53"/>
    </row>
    <row r="134" spans="2:34" s="100" customFormat="1" ht="14.1" customHeight="1" x14ac:dyDescent="0.2">
      <c r="B134" s="52"/>
      <c r="C134" s="496"/>
      <c r="D134" s="497"/>
      <c r="E134" s="497"/>
      <c r="F134" s="497"/>
      <c r="G134" s="497"/>
      <c r="H134" s="497"/>
      <c r="I134" s="497"/>
      <c r="J134" s="497"/>
      <c r="K134" s="497"/>
      <c r="L134" s="498"/>
      <c r="M134" s="496"/>
      <c r="N134" s="497"/>
      <c r="O134" s="497"/>
      <c r="P134" s="497"/>
      <c r="Q134" s="497"/>
      <c r="R134" s="497"/>
      <c r="S134" s="497"/>
      <c r="T134" s="497"/>
      <c r="U134" s="497"/>
      <c r="V134" s="497"/>
      <c r="W134" s="49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8"/>
      <c r="AH134" s="53"/>
    </row>
    <row r="135" spans="2:34" s="100" customFormat="1" ht="11.1" customHeight="1" x14ac:dyDescent="0.2">
      <c r="B135" s="52"/>
      <c r="C135" s="17" t="s">
        <v>22</v>
      </c>
      <c r="D135" s="25"/>
      <c r="E135" s="25"/>
      <c r="F135" s="25"/>
      <c r="G135" s="25"/>
      <c r="H135" s="25"/>
      <c r="I135" s="19"/>
      <c r="J135" s="25"/>
      <c r="K135" s="25"/>
      <c r="L135" s="26"/>
      <c r="M135" s="17" t="s">
        <v>22</v>
      </c>
      <c r="N135" s="25"/>
      <c r="O135" s="25"/>
      <c r="P135" s="20"/>
      <c r="Q135" s="25"/>
      <c r="R135" s="25"/>
      <c r="S135" s="25"/>
      <c r="T135" s="25"/>
      <c r="U135" s="25"/>
      <c r="V135" s="25"/>
      <c r="W135" s="26"/>
      <c r="X135" s="17" t="s">
        <v>22</v>
      </c>
      <c r="Y135" s="25"/>
      <c r="Z135" s="142"/>
      <c r="AA135" s="142"/>
      <c r="AB135" s="142"/>
      <c r="AC135" s="25"/>
      <c r="AD135" s="25"/>
      <c r="AE135" s="25"/>
      <c r="AF135" s="25"/>
      <c r="AG135" s="26"/>
      <c r="AH135" s="53"/>
    </row>
    <row r="136" spans="2:34" s="100" customFormat="1" ht="14.1" customHeight="1" x14ac:dyDescent="0.2">
      <c r="B136" s="52"/>
      <c r="C136" s="496"/>
      <c r="D136" s="497"/>
      <c r="E136" s="497"/>
      <c r="F136" s="497"/>
      <c r="G136" s="497"/>
      <c r="H136" s="497"/>
      <c r="I136" s="497"/>
      <c r="J136" s="497"/>
      <c r="K136" s="497"/>
      <c r="L136" s="498"/>
      <c r="M136" s="496"/>
      <c r="N136" s="497"/>
      <c r="O136" s="497"/>
      <c r="P136" s="497"/>
      <c r="Q136" s="497"/>
      <c r="R136" s="497"/>
      <c r="S136" s="497"/>
      <c r="T136" s="497"/>
      <c r="U136" s="497"/>
      <c r="V136" s="497"/>
      <c r="W136" s="498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8"/>
      <c r="AH136" s="53"/>
    </row>
    <row r="137" spans="2:34" s="100" customFormat="1" ht="11.1" customHeight="1" x14ac:dyDescent="0.2">
      <c r="B137" s="52"/>
      <c r="C137" s="17" t="s">
        <v>123</v>
      </c>
      <c r="D137" s="25"/>
      <c r="E137" s="25"/>
      <c r="F137" s="25"/>
      <c r="G137" s="25"/>
      <c r="H137" s="25"/>
      <c r="I137" s="19"/>
      <c r="J137" s="25"/>
      <c r="K137" s="25"/>
      <c r="L137" s="26"/>
      <c r="M137" s="17" t="s">
        <v>123</v>
      </c>
      <c r="N137" s="25"/>
      <c r="O137" s="25"/>
      <c r="P137" s="19"/>
      <c r="Q137" s="25"/>
      <c r="R137" s="25"/>
      <c r="S137" s="25"/>
      <c r="T137" s="25"/>
      <c r="U137" s="25"/>
      <c r="V137" s="25"/>
      <c r="W137" s="26"/>
      <c r="X137" s="17" t="s">
        <v>123</v>
      </c>
      <c r="Y137" s="25"/>
      <c r="Z137" s="142"/>
      <c r="AA137" s="142"/>
      <c r="AB137" s="142"/>
      <c r="AC137" s="25"/>
      <c r="AD137" s="25"/>
      <c r="AE137" s="25"/>
      <c r="AF137" s="25"/>
      <c r="AG137" s="26"/>
      <c r="AH137" s="53"/>
    </row>
    <row r="138" spans="2:34" s="100" customFormat="1" ht="14.1" customHeight="1" x14ac:dyDescent="0.2">
      <c r="B138" s="52"/>
      <c r="C138" s="499"/>
      <c r="D138" s="500"/>
      <c r="E138" s="500"/>
      <c r="F138" s="500"/>
      <c r="G138" s="500"/>
      <c r="H138" s="500"/>
      <c r="I138" s="500"/>
      <c r="J138" s="500"/>
      <c r="K138" s="500"/>
      <c r="L138" s="501"/>
      <c r="M138" s="499"/>
      <c r="N138" s="500"/>
      <c r="O138" s="500"/>
      <c r="P138" s="500"/>
      <c r="Q138" s="500"/>
      <c r="R138" s="500"/>
      <c r="S138" s="500"/>
      <c r="T138" s="500"/>
      <c r="U138" s="500"/>
      <c r="V138" s="500"/>
      <c r="W138" s="501"/>
      <c r="X138" s="499"/>
      <c r="Y138" s="500"/>
      <c r="Z138" s="500"/>
      <c r="AA138" s="500"/>
      <c r="AB138" s="500"/>
      <c r="AC138" s="500"/>
      <c r="AD138" s="500"/>
      <c r="AE138" s="500"/>
      <c r="AF138" s="500"/>
      <c r="AG138" s="501"/>
      <c r="AH138" s="53"/>
    </row>
    <row r="139" spans="2:34" s="100" customFormat="1" ht="15" customHeight="1" x14ac:dyDescent="0.2">
      <c r="B139" s="52"/>
      <c r="C139" s="503" t="s">
        <v>117</v>
      </c>
      <c r="D139" s="504"/>
      <c r="E139" s="504"/>
      <c r="F139" s="504"/>
      <c r="G139" s="504"/>
      <c r="H139" s="504"/>
      <c r="I139" s="504"/>
      <c r="J139" s="504"/>
      <c r="K139" s="504"/>
      <c r="L139" s="504"/>
      <c r="M139" s="504"/>
      <c r="N139" s="504"/>
      <c r="O139" s="504"/>
      <c r="P139" s="504"/>
      <c r="Q139" s="504"/>
      <c r="R139" s="504"/>
      <c r="S139" s="504"/>
      <c r="T139" s="504"/>
      <c r="U139" s="504"/>
      <c r="V139" s="504"/>
      <c r="W139" s="504"/>
      <c r="X139" s="504"/>
      <c r="Y139" s="504"/>
      <c r="Z139" s="504"/>
      <c r="AA139" s="504"/>
      <c r="AB139" s="504"/>
      <c r="AC139" s="504"/>
      <c r="AD139" s="504"/>
      <c r="AE139" s="504"/>
      <c r="AF139" s="504"/>
      <c r="AG139" s="505"/>
      <c r="AH139" s="53"/>
    </row>
    <row r="140" spans="2:34" s="100" customFormat="1" ht="12" customHeight="1" x14ac:dyDescent="0.2">
      <c r="B140" s="52"/>
      <c r="C140" s="104"/>
      <c r="D140" s="502"/>
      <c r="E140" s="502"/>
      <c r="F140" s="502"/>
      <c r="G140" s="502"/>
      <c r="H140" s="502"/>
      <c r="I140" s="502"/>
      <c r="J140" s="502"/>
      <c r="K140" s="502"/>
      <c r="L140" s="502"/>
      <c r="M140" s="502"/>
      <c r="N140" s="502"/>
      <c r="O140" s="502"/>
      <c r="P140" s="502"/>
      <c r="Q140" s="502"/>
      <c r="R140" s="502"/>
      <c r="S140" s="502"/>
      <c r="T140" s="502"/>
      <c r="U140" s="502"/>
      <c r="V140" s="502"/>
      <c r="W140" s="502"/>
      <c r="X140" s="502"/>
      <c r="Y140" s="502"/>
      <c r="Z140" s="502"/>
      <c r="AA140" s="502"/>
      <c r="AB140" s="502"/>
      <c r="AC140" s="502"/>
      <c r="AD140" s="502"/>
      <c r="AE140" s="502"/>
      <c r="AF140" s="502"/>
      <c r="AG140" s="103"/>
      <c r="AH140" s="53"/>
    </row>
    <row r="141" spans="2:34" s="100" customFormat="1" ht="12" customHeight="1" x14ac:dyDescent="0.2">
      <c r="B141" s="52"/>
      <c r="C141" s="104"/>
      <c r="D141" s="502"/>
      <c r="E141" s="502"/>
      <c r="F141" s="502"/>
      <c r="G141" s="502"/>
      <c r="H141" s="502"/>
      <c r="I141" s="502"/>
      <c r="J141" s="502"/>
      <c r="K141" s="502"/>
      <c r="L141" s="502"/>
      <c r="M141" s="502"/>
      <c r="N141" s="502"/>
      <c r="O141" s="502"/>
      <c r="P141" s="502"/>
      <c r="Q141" s="502"/>
      <c r="R141" s="502"/>
      <c r="S141" s="502"/>
      <c r="T141" s="502"/>
      <c r="U141" s="502"/>
      <c r="V141" s="502"/>
      <c r="W141" s="502"/>
      <c r="X141" s="502"/>
      <c r="Y141" s="502"/>
      <c r="Z141" s="502"/>
      <c r="AA141" s="502"/>
      <c r="AB141" s="502"/>
      <c r="AC141" s="502"/>
      <c r="AD141" s="502"/>
      <c r="AE141" s="502"/>
      <c r="AF141" s="502"/>
      <c r="AG141" s="103"/>
      <c r="AH141" s="53"/>
    </row>
    <row r="142" spans="2:34" s="100" customFormat="1" ht="12" customHeight="1" x14ac:dyDescent="0.2">
      <c r="B142" s="52"/>
      <c r="C142" s="104"/>
      <c r="D142" s="502"/>
      <c r="E142" s="502"/>
      <c r="F142" s="502"/>
      <c r="G142" s="502"/>
      <c r="H142" s="502"/>
      <c r="I142" s="502"/>
      <c r="J142" s="502"/>
      <c r="K142" s="502"/>
      <c r="L142" s="502"/>
      <c r="M142" s="502"/>
      <c r="N142" s="502"/>
      <c r="O142" s="502"/>
      <c r="P142" s="502"/>
      <c r="Q142" s="502"/>
      <c r="R142" s="502"/>
      <c r="S142" s="502"/>
      <c r="T142" s="502"/>
      <c r="U142" s="502"/>
      <c r="V142" s="502"/>
      <c r="W142" s="502"/>
      <c r="X142" s="502"/>
      <c r="Y142" s="502"/>
      <c r="Z142" s="502"/>
      <c r="AA142" s="502"/>
      <c r="AB142" s="502"/>
      <c r="AC142" s="502"/>
      <c r="AD142" s="502"/>
      <c r="AE142" s="502"/>
      <c r="AF142" s="502"/>
      <c r="AG142" s="103"/>
      <c r="AH142" s="53"/>
    </row>
    <row r="143" spans="2:34" s="100" customFormat="1" ht="12" customHeight="1" x14ac:dyDescent="0.2">
      <c r="B143" s="52"/>
      <c r="C143" s="104"/>
      <c r="D143" s="502"/>
      <c r="E143" s="502"/>
      <c r="F143" s="502"/>
      <c r="G143" s="502"/>
      <c r="H143" s="502"/>
      <c r="I143" s="502"/>
      <c r="J143" s="502"/>
      <c r="K143" s="502"/>
      <c r="L143" s="502"/>
      <c r="M143" s="502"/>
      <c r="N143" s="502"/>
      <c r="O143" s="502"/>
      <c r="P143" s="502"/>
      <c r="Q143" s="502"/>
      <c r="R143" s="502"/>
      <c r="S143" s="502"/>
      <c r="T143" s="502"/>
      <c r="U143" s="502"/>
      <c r="V143" s="502"/>
      <c r="W143" s="502"/>
      <c r="X143" s="502"/>
      <c r="Y143" s="502"/>
      <c r="Z143" s="502"/>
      <c r="AA143" s="502"/>
      <c r="AB143" s="502"/>
      <c r="AC143" s="502"/>
      <c r="AD143" s="502"/>
      <c r="AE143" s="502"/>
      <c r="AF143" s="502"/>
      <c r="AG143" s="103"/>
      <c r="AH143" s="53"/>
    </row>
    <row r="144" spans="2:34" s="100" customFormat="1" ht="12" customHeight="1" x14ac:dyDescent="0.2">
      <c r="B144" s="52"/>
      <c r="C144" s="104"/>
      <c r="D144" s="502"/>
      <c r="E144" s="502"/>
      <c r="F144" s="502"/>
      <c r="G144" s="502"/>
      <c r="H144" s="502"/>
      <c r="I144" s="502"/>
      <c r="J144" s="502"/>
      <c r="K144" s="502"/>
      <c r="L144" s="502"/>
      <c r="M144" s="502"/>
      <c r="N144" s="502"/>
      <c r="O144" s="502"/>
      <c r="P144" s="502"/>
      <c r="Q144" s="502"/>
      <c r="R144" s="502"/>
      <c r="S144" s="502"/>
      <c r="T144" s="502"/>
      <c r="U144" s="502"/>
      <c r="V144" s="502"/>
      <c r="W144" s="502"/>
      <c r="X144" s="502"/>
      <c r="Y144" s="502"/>
      <c r="Z144" s="502"/>
      <c r="AA144" s="502"/>
      <c r="AB144" s="502"/>
      <c r="AC144" s="502"/>
      <c r="AD144" s="502"/>
      <c r="AE144" s="502"/>
      <c r="AF144" s="502"/>
      <c r="AG144" s="103"/>
      <c r="AH144" s="53"/>
    </row>
    <row r="145" spans="2:34" s="100" customFormat="1" ht="12" customHeight="1" x14ac:dyDescent="0.2">
      <c r="B145" s="52"/>
      <c r="C145" s="104"/>
      <c r="D145" s="502"/>
      <c r="E145" s="502"/>
      <c r="F145" s="502"/>
      <c r="G145" s="502"/>
      <c r="H145" s="502"/>
      <c r="I145" s="502"/>
      <c r="J145" s="502"/>
      <c r="K145" s="502"/>
      <c r="L145" s="502"/>
      <c r="M145" s="502"/>
      <c r="N145" s="502"/>
      <c r="O145" s="502"/>
      <c r="P145" s="502"/>
      <c r="Q145" s="502"/>
      <c r="R145" s="502"/>
      <c r="S145" s="502"/>
      <c r="T145" s="502"/>
      <c r="U145" s="502"/>
      <c r="V145" s="502"/>
      <c r="W145" s="502"/>
      <c r="X145" s="502"/>
      <c r="Y145" s="502"/>
      <c r="Z145" s="502"/>
      <c r="AA145" s="502"/>
      <c r="AB145" s="502"/>
      <c r="AC145" s="502"/>
      <c r="AD145" s="502"/>
      <c r="AE145" s="502"/>
      <c r="AF145" s="502"/>
      <c r="AG145" s="103"/>
      <c r="AH145" s="53"/>
    </row>
    <row r="146" spans="2:34" s="100" customFormat="1" ht="12" customHeight="1" x14ac:dyDescent="0.2">
      <c r="B146" s="52"/>
      <c r="C146" s="104"/>
      <c r="D146" s="502"/>
      <c r="E146" s="502"/>
      <c r="F146" s="502"/>
      <c r="G146" s="502"/>
      <c r="H146" s="502"/>
      <c r="I146" s="502"/>
      <c r="J146" s="502"/>
      <c r="K146" s="502"/>
      <c r="L146" s="502"/>
      <c r="M146" s="502"/>
      <c r="N146" s="502"/>
      <c r="O146" s="502"/>
      <c r="P146" s="502"/>
      <c r="Q146" s="502"/>
      <c r="R146" s="502"/>
      <c r="S146" s="502"/>
      <c r="T146" s="502"/>
      <c r="U146" s="502"/>
      <c r="V146" s="502"/>
      <c r="W146" s="502"/>
      <c r="X146" s="502"/>
      <c r="Y146" s="502"/>
      <c r="Z146" s="502"/>
      <c r="AA146" s="502"/>
      <c r="AB146" s="502"/>
      <c r="AC146" s="502"/>
      <c r="AD146" s="502"/>
      <c r="AE146" s="502"/>
      <c r="AF146" s="502"/>
      <c r="AG146" s="103"/>
      <c r="AH146" s="53"/>
    </row>
    <row r="147" spans="2:34" s="100" customFormat="1" ht="3" customHeight="1" x14ac:dyDescent="0.2">
      <c r="B147" s="52"/>
      <c r="C147" s="101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02"/>
      <c r="AH147" s="53"/>
    </row>
    <row r="148" spans="2:34" s="100" customFormat="1" ht="3.95" customHeight="1" x14ac:dyDescent="0.2">
      <c r="B148" s="52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53"/>
    </row>
    <row r="149" spans="2:34" s="100" customFormat="1" ht="12" customHeight="1" x14ac:dyDescent="0.2">
      <c r="B149" s="52"/>
      <c r="C149" s="494" t="str">
        <f>"El abajo firmante se hace responsable de los datos que figuran en este documento y declara conocer los reglamentos por los que se rige la prueba los cuales deberá respetar, y solicita su inscripcion en el " &amp; C20 &amp; "."</f>
        <v>El abajo firmante se hace responsable de los datos que figuran en este documento y declara conocer los reglamentos por los que se rige la prueba los cuales deberá respetar, y solicita su inscripcion en el III Rallye Rías Altas Histórico.</v>
      </c>
      <c r="D149" s="494"/>
      <c r="E149" s="494"/>
      <c r="F149" s="494"/>
      <c r="G149" s="494"/>
      <c r="H149" s="494"/>
      <c r="I149" s="494"/>
      <c r="J149" s="494"/>
      <c r="K149" s="494"/>
      <c r="L149" s="494"/>
      <c r="M149" s="494"/>
      <c r="N149" s="494"/>
      <c r="O149" s="494"/>
      <c r="P149" s="494"/>
      <c r="Q149" s="494"/>
      <c r="R149" s="494"/>
      <c r="S149" s="494"/>
      <c r="T149" s="494"/>
      <c r="U149" s="494"/>
      <c r="V149" s="494"/>
      <c r="W149" s="494"/>
      <c r="X149" s="494"/>
      <c r="Y149" s="494"/>
      <c r="Z149" s="494"/>
      <c r="AA149" s="494"/>
      <c r="AB149" s="494"/>
      <c r="AC149" s="494"/>
      <c r="AD149" s="494"/>
      <c r="AE149" s="494"/>
      <c r="AF149" s="494"/>
      <c r="AG149" s="494"/>
      <c r="AH149" s="53"/>
    </row>
    <row r="150" spans="2:34" s="100" customFormat="1" ht="12" customHeight="1" x14ac:dyDescent="0.2">
      <c r="B150" s="52"/>
      <c r="C150" s="494"/>
      <c r="D150" s="494"/>
      <c r="E150" s="494"/>
      <c r="F150" s="494"/>
      <c r="G150" s="494"/>
      <c r="H150" s="494"/>
      <c r="I150" s="494"/>
      <c r="J150" s="494"/>
      <c r="K150" s="494"/>
      <c r="L150" s="494"/>
      <c r="M150" s="494"/>
      <c r="N150" s="494"/>
      <c r="O150" s="494"/>
      <c r="P150" s="494"/>
      <c r="Q150" s="494"/>
      <c r="R150" s="494"/>
      <c r="S150" s="494"/>
      <c r="T150" s="494"/>
      <c r="U150" s="494"/>
      <c r="V150" s="494"/>
      <c r="W150" s="494"/>
      <c r="X150" s="494"/>
      <c r="Y150" s="494"/>
      <c r="Z150" s="494"/>
      <c r="AA150" s="494"/>
      <c r="AB150" s="494"/>
      <c r="AC150" s="494"/>
      <c r="AD150" s="494"/>
      <c r="AE150" s="494"/>
      <c r="AF150" s="494"/>
      <c r="AG150" s="494"/>
      <c r="AH150" s="53"/>
    </row>
    <row r="151" spans="2:34" s="100" customFormat="1" ht="12.95" customHeight="1" x14ac:dyDescent="0.2">
      <c r="B151" s="52"/>
      <c r="C151" s="495" t="str">
        <f>"De acuerdo con lo establecido en la Ley Orgánica 15/1999 les informamos de que sus datos personales forman parte de un fichero cuyo responsable es " &amp; C23 &amp; ", con domicilio en " &amp; C25 &amp;  ", " &amp; C27 &amp;  ". La finalidad de este fichero es llevar a cabo la gestión y control de los participantes en el " &amp; C20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CLUB RALLYE RIAS ALTAS, con domicilio en C/ Parroquia de Guísamo, Parcela A2, Nave 7, 15165-BERGONDO (A CORUÑA). La finalidad de este fichero es llevar a cabo la gestión y control de los participantes en el III Rallye Rías Altas Histórico. Si lo desean podrán ejercitar los derechos de acceso, rectificación, cancelación y oposición, dirigiéndose por escrito a la dirección señalada y adjuntando una fotocopia de su DNI.</v>
      </c>
      <c r="D151" s="495"/>
      <c r="E151" s="495"/>
      <c r="F151" s="495"/>
      <c r="G151" s="495"/>
      <c r="H151" s="495"/>
      <c r="I151" s="495"/>
      <c r="J151" s="495"/>
      <c r="K151" s="495"/>
      <c r="L151" s="495"/>
      <c r="M151" s="495"/>
      <c r="N151" s="495"/>
      <c r="O151" s="495"/>
      <c r="P151" s="495"/>
      <c r="Q151" s="495"/>
      <c r="R151" s="495"/>
      <c r="S151" s="495"/>
      <c r="T151" s="495"/>
      <c r="U151" s="495"/>
      <c r="V151" s="495"/>
      <c r="W151" s="495"/>
      <c r="X151" s="495"/>
      <c r="Y151" s="495"/>
      <c r="Z151" s="495"/>
      <c r="AA151" s="495"/>
      <c r="AB151" s="495"/>
      <c r="AC151" s="495"/>
      <c r="AD151" s="495"/>
      <c r="AE151" s="495"/>
      <c r="AF151" s="495"/>
      <c r="AG151" s="495"/>
      <c r="AH151" s="53" t="s">
        <v>60</v>
      </c>
    </row>
    <row r="152" spans="2:34" s="100" customFormat="1" ht="12.95" customHeight="1" x14ac:dyDescent="0.2">
      <c r="B152" s="52"/>
      <c r="C152" s="495"/>
      <c r="D152" s="495"/>
      <c r="E152" s="495"/>
      <c r="F152" s="495"/>
      <c r="G152" s="495"/>
      <c r="H152" s="495"/>
      <c r="I152" s="495"/>
      <c r="J152" s="495"/>
      <c r="K152" s="495"/>
      <c r="L152" s="495"/>
      <c r="M152" s="495"/>
      <c r="N152" s="495"/>
      <c r="O152" s="495"/>
      <c r="P152" s="495"/>
      <c r="Q152" s="495"/>
      <c r="R152" s="495"/>
      <c r="S152" s="495"/>
      <c r="T152" s="495"/>
      <c r="U152" s="495"/>
      <c r="V152" s="495"/>
      <c r="W152" s="495"/>
      <c r="X152" s="495"/>
      <c r="Y152" s="495"/>
      <c r="Z152" s="495"/>
      <c r="AA152" s="495"/>
      <c r="AB152" s="495"/>
      <c r="AC152" s="495"/>
      <c r="AD152" s="495"/>
      <c r="AE152" s="495"/>
      <c r="AF152" s="495"/>
      <c r="AG152" s="495"/>
      <c r="AH152" s="53"/>
    </row>
    <row r="153" spans="2:34" s="100" customFormat="1" ht="12.95" customHeight="1" x14ac:dyDescent="0.2">
      <c r="B153" s="52"/>
      <c r="C153" s="495"/>
      <c r="D153" s="495"/>
      <c r="E153" s="495"/>
      <c r="F153" s="495"/>
      <c r="G153" s="495"/>
      <c r="H153" s="495"/>
      <c r="I153" s="495"/>
      <c r="J153" s="495"/>
      <c r="K153" s="495"/>
      <c r="L153" s="495"/>
      <c r="M153" s="495"/>
      <c r="N153" s="495"/>
      <c r="O153" s="495"/>
      <c r="P153" s="495"/>
      <c r="Q153" s="495"/>
      <c r="R153" s="495"/>
      <c r="S153" s="495"/>
      <c r="T153" s="495"/>
      <c r="U153" s="495"/>
      <c r="V153" s="495"/>
      <c r="W153" s="495"/>
      <c r="X153" s="495"/>
      <c r="Y153" s="495"/>
      <c r="Z153" s="495"/>
      <c r="AA153" s="495"/>
      <c r="AB153" s="495"/>
      <c r="AC153" s="495"/>
      <c r="AD153" s="495"/>
      <c r="AE153" s="495"/>
      <c r="AF153" s="495"/>
      <c r="AG153" s="495"/>
      <c r="AH153" s="53"/>
    </row>
    <row r="154" spans="2:34" s="100" customFormat="1" ht="15" customHeight="1" x14ac:dyDescent="0.15">
      <c r="B154" s="52"/>
      <c r="C154" s="493" t="s">
        <v>53</v>
      </c>
      <c r="D154" s="493"/>
      <c r="E154" s="493"/>
      <c r="F154" s="493"/>
      <c r="G154" s="493"/>
      <c r="H154" s="493"/>
      <c r="I154" s="493"/>
      <c r="J154" s="493"/>
      <c r="K154" s="493" t="s">
        <v>54</v>
      </c>
      <c r="L154" s="493"/>
      <c r="M154" s="493"/>
      <c r="N154" s="493"/>
      <c r="O154" s="493"/>
      <c r="P154" s="493"/>
      <c r="Q154" s="493"/>
      <c r="R154" s="493"/>
      <c r="S154" s="493"/>
      <c r="T154" s="493"/>
      <c r="U154" s="493"/>
      <c r="V154" s="493"/>
      <c r="W154" s="493" t="s">
        <v>55</v>
      </c>
      <c r="X154" s="493"/>
      <c r="Y154" s="493"/>
      <c r="Z154" s="493"/>
      <c r="AA154" s="493"/>
      <c r="AB154" s="493"/>
      <c r="AC154" s="493"/>
      <c r="AD154" s="493"/>
      <c r="AE154" s="493"/>
      <c r="AF154" s="493"/>
      <c r="AG154" s="493"/>
      <c r="AH154" s="53"/>
    </row>
    <row r="155" spans="2:34" s="100" customFormat="1" ht="15" customHeight="1" x14ac:dyDescent="0.2">
      <c r="B155" s="5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53"/>
    </row>
    <row r="156" spans="2:34" s="100" customFormat="1" ht="15" customHeight="1" x14ac:dyDescent="0.2">
      <c r="B156" s="5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53"/>
    </row>
    <row r="157" spans="2:34" s="100" customFormat="1" ht="15" customHeight="1" x14ac:dyDescent="0.2">
      <c r="B157" s="5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56"/>
    </row>
    <row r="158" spans="2:34" ht="15" customHeight="1" x14ac:dyDescent="0.2"/>
    <row r="159" spans="2:34" ht="15" hidden="1" customHeight="1" x14ac:dyDescent="0.2"/>
    <row r="160" spans="2:34" ht="15" hidden="1" customHeight="1" x14ac:dyDescent="0.2"/>
    <row r="161" ht="15" hidden="1" customHeight="1" x14ac:dyDescent="0.2"/>
    <row r="162" ht="15" hidden="1" customHeight="1" x14ac:dyDescent="0.2"/>
    <row r="163" ht="15" hidden="1" customHeight="1" x14ac:dyDescent="0.2"/>
    <row r="164" ht="15" hidden="1" customHeight="1" x14ac:dyDescent="0.2"/>
    <row r="165" ht="15" hidden="1" customHeight="1" x14ac:dyDescent="0.2"/>
    <row r="166" ht="15" hidden="1" customHeight="1" x14ac:dyDescent="0.2"/>
    <row r="167" ht="15" hidden="1" customHeight="1" x14ac:dyDescent="0.2"/>
    <row r="168" ht="15" hidden="1" customHeight="1" x14ac:dyDescent="0.2"/>
    <row r="169" ht="15" hidden="1" customHeight="1" x14ac:dyDescent="0.2"/>
    <row r="170" ht="15" hidden="1" customHeight="1" x14ac:dyDescent="0.2"/>
    <row r="171" ht="15" hidden="1" customHeight="1" x14ac:dyDescent="0.2"/>
    <row r="172" ht="15" hidden="1" customHeight="1" x14ac:dyDescent="0.2"/>
    <row r="173" ht="15" hidden="1" customHeight="1" x14ac:dyDescent="0.2"/>
    <row r="174" ht="15" hidden="1" customHeight="1" x14ac:dyDescent="0.2"/>
    <row r="175" ht="0" hidden="1" customHeight="1" x14ac:dyDescent="0.2"/>
    <row r="176" ht="0" hidden="1" customHeight="1" x14ac:dyDescent="0.2"/>
    <row r="177" ht="0" hidden="1" customHeight="1" x14ac:dyDescent="0.2"/>
    <row r="178" ht="0" hidden="1" customHeight="1" x14ac:dyDescent="0.2"/>
    <row r="179" ht="0" hidden="1" customHeight="1" x14ac:dyDescent="0.2"/>
    <row r="180" ht="0" hidden="1" customHeight="1" x14ac:dyDescent="0.2"/>
    <row r="181" ht="0" hidden="1" customHeight="1" x14ac:dyDescent="0.2"/>
    <row r="182" ht="0" hidden="1" customHeight="1" x14ac:dyDescent="0.2"/>
    <row r="183" ht="0" hidden="1" customHeight="1" x14ac:dyDescent="0.2"/>
    <row r="184" ht="0" hidden="1" customHeight="1" x14ac:dyDescent="0.2"/>
    <row r="185" ht="0" hidden="1" customHeight="1" x14ac:dyDescent="0.2"/>
    <row r="186" ht="0" hidden="1" customHeight="1" x14ac:dyDescent="0.2"/>
    <row r="187" ht="0" hidden="1" customHeight="1" x14ac:dyDescent="0.2"/>
    <row r="188" ht="0" hidden="1" customHeight="1" x14ac:dyDescent="0.2"/>
    <row r="189" ht="0" hidden="1" customHeight="1" x14ac:dyDescent="0.2"/>
    <row r="190" ht="0" hidden="1" customHeight="1" x14ac:dyDescent="0.2"/>
    <row r="191" ht="0" hidden="1" customHeight="1" x14ac:dyDescent="0.2"/>
    <row r="192" ht="0" hidden="1" customHeight="1" x14ac:dyDescent="0.2"/>
    <row r="193" ht="0" hidden="1" customHeight="1" x14ac:dyDescent="0.2"/>
    <row r="194" ht="0" hidden="1" customHeight="1" x14ac:dyDescent="0.2"/>
    <row r="195" ht="0" hidden="1" customHeight="1" x14ac:dyDescent="0.2"/>
    <row r="196" ht="0" hidden="1" customHeight="1" x14ac:dyDescent="0.2"/>
    <row r="197" ht="0" hidden="1" customHeight="1" x14ac:dyDescent="0.2"/>
    <row r="198" ht="0" hidden="1" customHeight="1" x14ac:dyDescent="0.2"/>
    <row r="199" ht="0" hidden="1" customHeight="1" x14ac:dyDescent="0.2"/>
    <row r="200" ht="0" hidden="1" customHeight="1" x14ac:dyDescent="0.2"/>
    <row r="201" ht="0" hidden="1" customHeight="1" x14ac:dyDescent="0.2"/>
    <row r="202" ht="0" hidden="1" customHeight="1" x14ac:dyDescent="0.2"/>
    <row r="203" ht="0" hidden="1" customHeight="1" x14ac:dyDescent="0.2"/>
    <row r="204" ht="0" hidden="1" customHeight="1" x14ac:dyDescent="0.2"/>
    <row r="205" ht="0" hidden="1" customHeight="1" x14ac:dyDescent="0.2"/>
    <row r="206" ht="0" hidden="1" customHeight="1" x14ac:dyDescent="0.2"/>
    <row r="207" ht="0" hidden="1" customHeight="1" x14ac:dyDescent="0.2"/>
    <row r="208" ht="0" hidden="1" customHeight="1" x14ac:dyDescent="0.2"/>
    <row r="209" ht="0" hidden="1" customHeight="1" x14ac:dyDescent="0.2"/>
    <row r="210" ht="0" hidden="1" customHeight="1" x14ac:dyDescent="0.2"/>
    <row r="211" ht="0" hidden="1" customHeight="1" x14ac:dyDescent="0.2"/>
    <row r="212" ht="0" hidden="1" customHeight="1" x14ac:dyDescent="0.2"/>
    <row r="213" ht="0" hidden="1" customHeight="1" x14ac:dyDescent="0.2"/>
  </sheetData>
  <sheetProtection password="C9CD" sheet="1" objects="1" scenarios="1"/>
  <mergeCells count="177">
    <mergeCell ref="C37:C48"/>
    <mergeCell ref="D46:H46"/>
    <mergeCell ref="D48:H48"/>
    <mergeCell ref="I48:M48"/>
    <mergeCell ref="I46:M46"/>
    <mergeCell ref="AA46:AD46"/>
    <mergeCell ref="N46:U46"/>
    <mergeCell ref="N64:U64"/>
    <mergeCell ref="Q52:U52"/>
    <mergeCell ref="L50:U50"/>
    <mergeCell ref="AA54:AD54"/>
    <mergeCell ref="V46:Z46"/>
    <mergeCell ref="V52:AG52"/>
    <mergeCell ref="V48:AG48"/>
    <mergeCell ref="V50:AG50"/>
    <mergeCell ref="N56:U56"/>
    <mergeCell ref="N54:U54"/>
    <mergeCell ref="I64:M64"/>
    <mergeCell ref="D60:P60"/>
    <mergeCell ref="AE46:AG46"/>
    <mergeCell ref="AE54:AG54"/>
    <mergeCell ref="V58:AG58"/>
    <mergeCell ref="L58:U58"/>
    <mergeCell ref="I56:M56"/>
    <mergeCell ref="X134:AG134"/>
    <mergeCell ref="M132:W132"/>
    <mergeCell ref="C132:L132"/>
    <mergeCell ref="C129:L129"/>
    <mergeCell ref="AA23:AC25"/>
    <mergeCell ref="R23:Z25"/>
    <mergeCell ref="C23:P24"/>
    <mergeCell ref="D44:P44"/>
    <mergeCell ref="V44:AG44"/>
    <mergeCell ref="AA26:AC33"/>
    <mergeCell ref="V30:Z33"/>
    <mergeCell ref="V39:AG39"/>
    <mergeCell ref="Q42:AG42"/>
    <mergeCell ref="V26:Z29"/>
    <mergeCell ref="X125:AG125"/>
    <mergeCell ref="D62:H62"/>
    <mergeCell ref="D102:G103"/>
    <mergeCell ref="I100:P100"/>
    <mergeCell ref="C71:F71"/>
    <mergeCell ref="I62:M62"/>
    <mergeCell ref="C119:AG119"/>
    <mergeCell ref="C123:L123"/>
    <mergeCell ref="C125:L125"/>
    <mergeCell ref="Q44:U44"/>
    <mergeCell ref="M125:W125"/>
    <mergeCell ref="C100:D100"/>
    <mergeCell ref="R103:AF104"/>
    <mergeCell ref="D104:G104"/>
    <mergeCell ref="X123:AG123"/>
    <mergeCell ref="M123:W123"/>
    <mergeCell ref="M121:W121"/>
    <mergeCell ref="X121:AG121"/>
    <mergeCell ref="C121:L121"/>
    <mergeCell ref="E100:F100"/>
    <mergeCell ref="Q101:T101"/>
    <mergeCell ref="U101:AG101"/>
    <mergeCell ref="C154:J154"/>
    <mergeCell ref="K154:V154"/>
    <mergeCell ref="C149:AG150"/>
    <mergeCell ref="W154:AG154"/>
    <mergeCell ref="C151:AG153"/>
    <mergeCell ref="M127:W127"/>
    <mergeCell ref="X129:AG129"/>
    <mergeCell ref="X127:AG127"/>
    <mergeCell ref="C127:L127"/>
    <mergeCell ref="C138:L138"/>
    <mergeCell ref="M138:W138"/>
    <mergeCell ref="X132:AG132"/>
    <mergeCell ref="C134:L134"/>
    <mergeCell ref="X136:AG136"/>
    <mergeCell ref="C136:L136"/>
    <mergeCell ref="M136:W136"/>
    <mergeCell ref="M134:W134"/>
    <mergeCell ref="D140:AF146"/>
    <mergeCell ref="C139:AG139"/>
    <mergeCell ref="X138:AG138"/>
    <mergeCell ref="M129:W129"/>
    <mergeCell ref="C130:L130"/>
    <mergeCell ref="M130:W130"/>
    <mergeCell ref="X130:AG130"/>
    <mergeCell ref="B1:AH1"/>
    <mergeCell ref="C49:C56"/>
    <mergeCell ref="N48:U48"/>
    <mergeCell ref="C17:AG17"/>
    <mergeCell ref="B7:AH7"/>
    <mergeCell ref="C25:P26"/>
    <mergeCell ref="C19:P19"/>
    <mergeCell ref="B9:O10"/>
    <mergeCell ref="P9:AH10"/>
    <mergeCell ref="R19:AG19"/>
    <mergeCell ref="K13:AG15"/>
    <mergeCell ref="C35:AG35"/>
    <mergeCell ref="R26:U29"/>
    <mergeCell ref="R30:U33"/>
    <mergeCell ref="C27:P28"/>
    <mergeCell ref="C29:P30"/>
    <mergeCell ref="AD26:AG33"/>
    <mergeCell ref="C20:P21"/>
    <mergeCell ref="R20:AG21"/>
    <mergeCell ref="AD23:AG25"/>
    <mergeCell ref="C31:P33"/>
    <mergeCell ref="D42:P42"/>
    <mergeCell ref="D39:K39"/>
    <mergeCell ref="L39:U39"/>
    <mergeCell ref="D52:P52"/>
    <mergeCell ref="D50:K50"/>
    <mergeCell ref="D54:H54"/>
    <mergeCell ref="I54:M54"/>
    <mergeCell ref="V60:AG60"/>
    <mergeCell ref="V56:AG56"/>
    <mergeCell ref="AA62:AD62"/>
    <mergeCell ref="D56:H56"/>
    <mergeCell ref="AE62:AG62"/>
    <mergeCell ref="D58:K58"/>
    <mergeCell ref="Q60:U60"/>
    <mergeCell ref="V54:Z54"/>
    <mergeCell ref="D64:H64"/>
    <mergeCell ref="I68:P68"/>
    <mergeCell ref="C69:H70"/>
    <mergeCell ref="C68:H68"/>
    <mergeCell ref="G71:K71"/>
    <mergeCell ref="C57:C64"/>
    <mergeCell ref="C74:F74"/>
    <mergeCell ref="L72:P73"/>
    <mergeCell ref="C66:AG66"/>
    <mergeCell ref="N62:U62"/>
    <mergeCell ref="V62:Z62"/>
    <mergeCell ref="Q68:AG68"/>
    <mergeCell ref="Q69:AG71"/>
    <mergeCell ref="I69:P70"/>
    <mergeCell ref="L71:P71"/>
    <mergeCell ref="V64:AG64"/>
    <mergeCell ref="Q72:AG72"/>
    <mergeCell ref="G74:K74"/>
    <mergeCell ref="C72:F73"/>
    <mergeCell ref="G72:K73"/>
    <mergeCell ref="Q73:AG75"/>
    <mergeCell ref="C75:F76"/>
    <mergeCell ref="G75:K76"/>
    <mergeCell ref="L74:P76"/>
    <mergeCell ref="C77:F77"/>
    <mergeCell ref="G77:K77"/>
    <mergeCell ref="C80:AG84"/>
    <mergeCell ref="C89:AG89"/>
    <mergeCell ref="C78:F79"/>
    <mergeCell ref="N79:P79"/>
    <mergeCell ref="L79:M79"/>
    <mergeCell ref="L77:P78"/>
    <mergeCell ref="Q87:AG87"/>
    <mergeCell ref="Q76:AG76"/>
    <mergeCell ref="AC98:AF98"/>
    <mergeCell ref="E97:P97"/>
    <mergeCell ref="E99:P99"/>
    <mergeCell ref="E98:P98"/>
    <mergeCell ref="J91:P91"/>
    <mergeCell ref="L92:P92"/>
    <mergeCell ref="L94:P94"/>
    <mergeCell ref="D93:I94"/>
    <mergeCell ref="X97:Z97"/>
    <mergeCell ref="AC96:AF96"/>
    <mergeCell ref="Q91:AG91"/>
    <mergeCell ref="AC95:AF95"/>
    <mergeCell ref="R92:AA92"/>
    <mergeCell ref="AC97:AF97"/>
    <mergeCell ref="C95:P95"/>
    <mergeCell ref="AC94:AF94"/>
    <mergeCell ref="E96:P96"/>
    <mergeCell ref="AC92:AF92"/>
    <mergeCell ref="C91:I91"/>
    <mergeCell ref="D92:I92"/>
    <mergeCell ref="C87:P87"/>
    <mergeCell ref="Q77:AG79"/>
    <mergeCell ref="G78:K79"/>
  </mergeCells>
  <conditionalFormatting sqref="L92:P92">
    <cfRule type="expression" dxfId="84" priority="50" stopIfTrue="1">
      <formula>Shakedown=TRUE</formula>
    </cfRule>
  </conditionalFormatting>
  <conditionalFormatting sqref="L94:P94">
    <cfRule type="expression" dxfId="83" priority="51" stopIfTrue="1">
      <formula>Ouvreur=TRUE</formula>
    </cfRule>
  </conditionalFormatting>
  <conditionalFormatting sqref="H103:H104">
    <cfRule type="expression" dxfId="82" priority="57" stopIfTrue="1">
      <formula>Efectivo=1</formula>
    </cfRule>
  </conditionalFormatting>
  <conditionalFormatting sqref="AC97:AF97">
    <cfRule type="expression" dxfId="81" priority="60" stopIfTrue="1">
      <formula>IVA=FALSE</formula>
    </cfRule>
  </conditionalFormatting>
  <conditionalFormatting sqref="R103:AF104">
    <cfRule type="expression" dxfId="80" priority="61" stopIfTrue="1">
      <formula>Efectivo=2</formula>
    </cfRule>
  </conditionalFormatting>
  <conditionalFormatting sqref="C69:P70 C72:F73 C75:K76">
    <cfRule type="expression" dxfId="79" priority="323" stopIfTrue="1">
      <formula>Blanco=TRUE</formula>
    </cfRule>
    <cfRule type="cellIs" dxfId="78" priority="324" stopIfTrue="1" operator="equal">
      <formula>""</formula>
    </cfRule>
  </conditionalFormatting>
  <conditionalFormatting sqref="L72:P73">
    <cfRule type="expression" dxfId="77" priority="331" stopIfTrue="1">
      <formula>Blanco=TRUE</formula>
    </cfRule>
    <cfRule type="cellIs" dxfId="76" priority="332" stopIfTrue="1" operator="equal">
      <formula>""</formula>
    </cfRule>
    <cfRule type="cellIs" dxfId="75" priority="333" stopIfTrue="1" operator="equal">
      <formula>0</formula>
    </cfRule>
  </conditionalFormatting>
  <conditionalFormatting sqref="C78:F79">
    <cfRule type="expression" dxfId="74" priority="10" stopIfTrue="1">
      <formula>Campeonato=3</formula>
    </cfRule>
    <cfRule type="expression" dxfId="73" priority="13" stopIfTrue="1">
      <formula>Campeonato&gt;3</formula>
    </cfRule>
    <cfRule type="expression" dxfId="72" priority="350" stopIfTrue="1">
      <formula>Blanco=TRUE</formula>
    </cfRule>
    <cfRule type="cellIs" dxfId="71" priority="351" stopIfTrue="1" operator="equal">
      <formula>""</formula>
    </cfRule>
  </conditionalFormatting>
  <conditionalFormatting sqref="Q69:AG71">
    <cfRule type="expression" dxfId="70" priority="23" stopIfTrue="1">
      <formula>Campeonato=7</formula>
    </cfRule>
    <cfRule type="cellIs" dxfId="69" priority="482" stopIfTrue="1" operator="equal">
      <formula>""</formula>
    </cfRule>
  </conditionalFormatting>
  <conditionalFormatting sqref="Q73:AG75">
    <cfRule type="expression" dxfId="68" priority="483" stopIfTrue="1">
      <formula>Seleccion=1</formula>
    </cfRule>
    <cfRule type="cellIs" dxfId="67" priority="484" stopIfTrue="1" operator="equal">
      <formula>""</formula>
    </cfRule>
  </conditionalFormatting>
  <conditionalFormatting sqref="R20:AG21">
    <cfRule type="expression" dxfId="66" priority="14" stopIfTrue="1">
      <formula>Campeonato=1</formula>
    </cfRule>
    <cfRule type="expression" dxfId="65" priority="15" stopIfTrue="1">
      <formula>Campeonato=2</formula>
    </cfRule>
    <cfRule type="expression" dxfId="64" priority="16" stopIfTrue="1">
      <formula>Campeonato=3</formula>
    </cfRule>
    <cfRule type="expression" dxfId="63" priority="17" stopIfTrue="1">
      <formula>Campeonato=4</formula>
    </cfRule>
    <cfRule type="expression" dxfId="62" priority="18" stopIfTrue="1">
      <formula>Campeonato=5</formula>
    </cfRule>
    <cfRule type="expression" dxfId="61" priority="19" stopIfTrue="1">
      <formula>Campeonato=6</formula>
    </cfRule>
    <cfRule type="expression" dxfId="60" priority="487" stopIfTrue="1">
      <formula>Campeonato&gt;6</formula>
    </cfRule>
  </conditionalFormatting>
  <conditionalFormatting sqref="D42:P42">
    <cfRule type="expression" dxfId="59" priority="488" stopIfTrue="1">
      <formula>DENOMCONCURSANTE=0</formula>
    </cfRule>
  </conditionalFormatting>
  <conditionalFormatting sqref="D39:K39">
    <cfRule type="expression" dxfId="58" priority="489" stopIfTrue="1">
      <formula>APE1CONCURSANTE=0</formula>
    </cfRule>
  </conditionalFormatting>
  <conditionalFormatting sqref="L39:U39">
    <cfRule type="expression" dxfId="57" priority="490" stopIfTrue="1">
      <formula>APE2_CONCURSANTE=0</formula>
    </cfRule>
  </conditionalFormatting>
  <conditionalFormatting sqref="V39:AG39">
    <cfRule type="expression" dxfId="56" priority="491" stopIfTrue="1">
      <formula>NOMCONCURSANTE=0</formula>
    </cfRule>
  </conditionalFormatting>
  <conditionalFormatting sqref="Q42:AG42">
    <cfRule type="expression" dxfId="55" priority="492" stopIfTrue="1">
      <formula>REPRESCONCURSANTE=0</formula>
    </cfRule>
  </conditionalFormatting>
  <conditionalFormatting sqref="D48:H48">
    <cfRule type="expression" dxfId="54" priority="493" stopIfTrue="1">
      <formula>MOVILCONCURSANTE=0</formula>
    </cfRule>
  </conditionalFormatting>
  <conditionalFormatting sqref="I48:M48">
    <cfRule type="expression" dxfId="53" priority="494" stopIfTrue="1">
      <formula>FIJOCONCURSANTE=0</formula>
    </cfRule>
  </conditionalFormatting>
  <conditionalFormatting sqref="D50:K50">
    <cfRule type="expression" dxfId="52" priority="495" stopIfTrue="1">
      <formula>APE1PILOTO=0</formula>
    </cfRule>
  </conditionalFormatting>
  <conditionalFormatting sqref="L50:U50">
    <cfRule type="expression" dxfId="51" priority="496" stopIfTrue="1">
      <formula>APE2PILOTO=0</formula>
    </cfRule>
  </conditionalFormatting>
  <conditionalFormatting sqref="V50:AG50">
    <cfRule type="expression" dxfId="50" priority="497" stopIfTrue="1">
      <formula>NOMPILOTO=0</formula>
    </cfRule>
  </conditionalFormatting>
  <conditionalFormatting sqref="D56:H56">
    <cfRule type="expression" dxfId="49" priority="498" stopIfTrue="1">
      <formula>MOVILPILOTO=0</formula>
    </cfRule>
  </conditionalFormatting>
  <conditionalFormatting sqref="I56:M56">
    <cfRule type="expression" dxfId="48" priority="499" stopIfTrue="1">
      <formula>FIJOPILOTO=0</formula>
    </cfRule>
  </conditionalFormatting>
  <conditionalFormatting sqref="D58:K58">
    <cfRule type="expression" dxfId="47" priority="500" stopIfTrue="1">
      <formula>APE1COPILOTO=0</formula>
    </cfRule>
  </conditionalFormatting>
  <conditionalFormatting sqref="L58:U58">
    <cfRule type="expression" dxfId="46" priority="501" stopIfTrue="1">
      <formula>APE2COPILOTO=0</formula>
    </cfRule>
  </conditionalFormatting>
  <conditionalFormatting sqref="V58:AG58">
    <cfRule type="expression" dxfId="45" priority="502" stopIfTrue="1">
      <formula>NOMCOPILOTO=0</formula>
    </cfRule>
  </conditionalFormatting>
  <conditionalFormatting sqref="D64:H64">
    <cfRule type="expression" dxfId="44" priority="503" stopIfTrue="1">
      <formula>MOVILCOPILOTO=0</formula>
    </cfRule>
  </conditionalFormatting>
  <conditionalFormatting sqref="I64:M64">
    <cfRule type="expression" dxfId="43" priority="504" stopIfTrue="1">
      <formula>FIJOCOPILOTO=0</formula>
    </cfRule>
  </conditionalFormatting>
  <conditionalFormatting sqref="D46">
    <cfRule type="expression" dxfId="42" priority="505" stopIfTrue="1">
      <formula>PROVINCIACONCURSANTE=0</formula>
    </cfRule>
  </conditionalFormatting>
  <conditionalFormatting sqref="Q77:AG79">
    <cfRule type="expression" dxfId="41" priority="506" stopIfTrue="1">
      <formula>Blanco=TRUE</formula>
    </cfRule>
    <cfRule type="expression" dxfId="40" priority="507" stopIfTrue="1">
      <formula>EsError=TRUE</formula>
    </cfRule>
    <cfRule type="expression" dxfId="39" priority="508" stopIfTrue="1">
      <formula>$Q$69="---"</formula>
    </cfRule>
  </conditionalFormatting>
  <conditionalFormatting sqref="AE46:AG46">
    <cfRule type="expression" dxfId="38" priority="509" stopIfTrue="1">
      <formula>$D$39&lt;&gt;""</formula>
    </cfRule>
    <cfRule type="expression" dxfId="37" priority="510" stopIfTrue="1">
      <formula>COPIACONCURSANTE=0</formula>
    </cfRule>
  </conditionalFormatting>
  <conditionalFormatting sqref="N46:U46">
    <cfRule type="expression" dxfId="36" priority="512" stopIfTrue="1">
      <formula>PAISCONCURSANTE=0</formula>
    </cfRule>
  </conditionalFormatting>
  <conditionalFormatting sqref="V46:Z46">
    <cfRule type="expression" dxfId="35" priority="513" stopIfTrue="1">
      <formula>NIFCONCURSANTE=0</formula>
    </cfRule>
  </conditionalFormatting>
  <conditionalFormatting sqref="AA46:AD46">
    <cfRule type="expression" dxfId="34" priority="514" stopIfTrue="1">
      <formula>LICCONCURSANTE=0</formula>
    </cfRule>
  </conditionalFormatting>
  <conditionalFormatting sqref="D54:H54">
    <cfRule type="expression" dxfId="33" priority="515" stopIfTrue="1">
      <formula>PROVINCIAPILOTO=0</formula>
    </cfRule>
  </conditionalFormatting>
  <conditionalFormatting sqref="I54:M54">
    <cfRule type="expression" dxfId="32" priority="516" stopIfTrue="1">
      <formula>CCAAPILOTO=0</formula>
    </cfRule>
  </conditionalFormatting>
  <conditionalFormatting sqref="N54:U54">
    <cfRule type="expression" dxfId="31" priority="517" stopIfTrue="1">
      <formula>PAISPILOTO=0</formula>
    </cfRule>
  </conditionalFormatting>
  <conditionalFormatting sqref="V54:Z54">
    <cfRule type="expression" dxfId="30" priority="518" stopIfTrue="1">
      <formula>NIFPILOTO=0</formula>
    </cfRule>
  </conditionalFormatting>
  <conditionalFormatting sqref="AA54:AD54">
    <cfRule type="expression" dxfId="29" priority="519" stopIfTrue="1">
      <formula>LICPILOTO=0</formula>
    </cfRule>
  </conditionalFormatting>
  <conditionalFormatting sqref="L77:P78">
    <cfRule type="expression" dxfId="28" priority="596" stopIfTrue="1">
      <formula>AprobacionCC=FALSE</formula>
    </cfRule>
    <cfRule type="expression" dxfId="27" priority="597" stopIfTrue="1">
      <formula>AprobacionCC=TRUE</formula>
    </cfRule>
  </conditionalFormatting>
  <conditionalFormatting sqref="B9:O10">
    <cfRule type="expression" dxfId="26" priority="669" stopIfTrue="1">
      <formula>PENDIENTES=0</formula>
    </cfRule>
  </conditionalFormatting>
  <conditionalFormatting sqref="V62:Z62">
    <cfRule type="expression" dxfId="25" priority="670" stopIfTrue="1">
      <formula>NIFCOPILOTO=0</formula>
    </cfRule>
  </conditionalFormatting>
  <conditionalFormatting sqref="AA62:AD62">
    <cfRule type="expression" dxfId="24" priority="671" stopIfTrue="1">
      <formula>LICCOPILOTO=0</formula>
    </cfRule>
  </conditionalFormatting>
  <conditionalFormatting sqref="D62:H62">
    <cfRule type="expression" dxfId="23" priority="672" stopIfTrue="1">
      <formula>PROVINCIACOPILOTO=0</formula>
    </cfRule>
  </conditionalFormatting>
  <conditionalFormatting sqref="I62:M62">
    <cfRule type="expression" dxfId="22" priority="673" stopIfTrue="1">
      <formula>CCAACOPILOTO=0</formula>
    </cfRule>
  </conditionalFormatting>
  <conditionalFormatting sqref="N62:U62">
    <cfRule type="expression" dxfId="21" priority="674" stopIfTrue="1">
      <formula>PAISCOPILOTO=0</formula>
    </cfRule>
  </conditionalFormatting>
  <conditionalFormatting sqref="I46:M46">
    <cfRule type="expression" dxfId="20" priority="675" stopIfTrue="1">
      <formula>CCAACONCURSANTE=0</formula>
    </cfRule>
  </conditionalFormatting>
  <conditionalFormatting sqref="I45:M45">
    <cfRule type="expression" dxfId="19" priority="676" stopIfTrue="1">
      <formula>CCAACONCURSANTE=0</formula>
    </cfRule>
  </conditionalFormatting>
  <conditionalFormatting sqref="I53:M53">
    <cfRule type="expression" dxfId="18" priority="677" stopIfTrue="1">
      <formula>CCAAPILOTO=0</formula>
    </cfRule>
  </conditionalFormatting>
  <conditionalFormatting sqref="I61:M61">
    <cfRule type="expression" dxfId="17" priority="678" stopIfTrue="1">
      <formula>CCAACOPILOTO=0</formula>
    </cfRule>
  </conditionalFormatting>
  <conditionalFormatting sqref="N79:P79">
    <cfRule type="expression" dxfId="16" priority="35" stopIfTrue="1">
      <formula>AprobacionCC=FALSE</formula>
    </cfRule>
    <cfRule type="expression" dxfId="15" priority="36" stopIfTrue="1">
      <formula>AprobacionCC=TRUE</formula>
    </cfRule>
  </conditionalFormatting>
  <conditionalFormatting sqref="L79:M79">
    <cfRule type="expression" dxfId="14" priority="33" stopIfTrue="1">
      <formula>AprobacionCC=FALSE</formula>
    </cfRule>
    <cfRule type="expression" dxfId="13" priority="34" stopIfTrue="1">
      <formula>AprobacionCC=TRUE</formula>
    </cfRule>
  </conditionalFormatting>
  <conditionalFormatting sqref="G101:O101">
    <cfRule type="expression" dxfId="12" priority="679" stopIfTrue="1">
      <formula>Efectivo=1</formula>
    </cfRule>
    <cfRule type="expression" dxfId="11" priority="680" stopIfTrue="1">
      <formula>#REF!&lt;&gt;"   "</formula>
    </cfRule>
  </conditionalFormatting>
  <conditionalFormatting sqref="C77:F77">
    <cfRule type="expression" dxfId="10" priority="11" stopIfTrue="1">
      <formula>Campeonato=3</formula>
    </cfRule>
    <cfRule type="expression" dxfId="9" priority="12" stopIfTrue="1">
      <formula>Campeonato&gt;3</formula>
    </cfRule>
  </conditionalFormatting>
  <conditionalFormatting sqref="V48">
    <cfRule type="expression" dxfId="8" priority="9" stopIfTrue="1">
      <formula>email_competidor=0</formula>
    </cfRule>
  </conditionalFormatting>
  <conditionalFormatting sqref="V56">
    <cfRule type="expression" dxfId="7" priority="8" stopIfTrue="1">
      <formula>email_piloto=0</formula>
    </cfRule>
  </conditionalFormatting>
  <conditionalFormatting sqref="V64">
    <cfRule type="expression" dxfId="6" priority="7" stopIfTrue="1">
      <formula>email_copiloto=0</formula>
    </cfRule>
  </conditionalFormatting>
  <conditionalFormatting sqref="G77">
    <cfRule type="expression" dxfId="5" priority="5" stopIfTrue="1">
      <formula>Campeonato=3</formula>
    </cfRule>
    <cfRule type="expression" dxfId="4" priority="6" stopIfTrue="1">
      <formula>Campeonato=4</formula>
    </cfRule>
  </conditionalFormatting>
  <conditionalFormatting sqref="G78">
    <cfRule type="expression" dxfId="3" priority="1" stopIfTrue="1">
      <formula>Campeonato=3</formula>
    </cfRule>
    <cfRule type="expression" dxfId="2" priority="2" stopIfTrue="1">
      <formula>Campeonato=4</formula>
    </cfRule>
    <cfRule type="expression" dxfId="1" priority="3" stopIfTrue="1">
      <formula>Blanco=TRUE</formula>
    </cfRule>
    <cfRule type="cellIs" dxfId="0" priority="4" stopIfTrue="1" operator="equal">
      <formula>""</formula>
    </cfRule>
  </conditionalFormatting>
  <dataValidations xWindow="389" yWindow="654" count="3">
    <dataValidation type="textLength" showInputMessage="1" showErrorMessage="1" errorTitle="Código Cuenta Cliente" error="Longitud exacta de 20 caracteres, teclee sin espacios ni separadores_x000a_" promptTitle="Nº DE CUENTA DEL ORGANIZADOR" prompt="_x000a_¡¡¡ ATENCIÓN !!! _x000a__x000a_Compruebe que el número de cuenta coincide con el publicado por el Organizador en su Reglamento Particular" sqref="L103 I103:K104 M103:O104" xr:uid="{00000000-0002-0000-0000-000000000000}">
      <formula1>20</formula1>
      <formula2>29</formula2>
    </dataValidation>
    <dataValidation type="textLength" showErrorMessage="1" errorTitle="Código Cuenta Cliente" error="Longitud exacta de 20 caracteres, teclee sin espacios ni separadores_x000a_" promptTitle="Nº DE CUENTA DEL ORGANIZADOR" prompt="_x000a_¡¡¡ ATENCIÓN !!! _x000a__x000a_Compruebe que el número de cuenta coincide con el publicado por el Organizador en su Reglamento Particular" sqref="L104" xr:uid="{00000000-0002-0000-0000-000001000000}">
      <formula1>20</formula1>
      <formula2>29</formula2>
    </dataValidation>
    <dataValidation allowBlank="1" showErrorMessage="1" sqref="G77" xr:uid="{00000000-0002-0000-0000-000002000000}"/>
  </dataValidations>
  <pageMargins left="0.59055118110236227" right="0.39370078740157483" top="0.19685039370078741" bottom="0.39370078740157483" header="0" footer="0.31496062992125984"/>
  <pageSetup paperSize="9" orientation="portrait" r:id="rId1"/>
  <headerFooter alignWithMargins="0">
    <oddFooter>&amp;R&amp;"Tahoma,Normal"&amp;8Página &amp;"Tahoma,Negrita"&amp;9&amp;P&amp;"Tahoma,Normal"&amp;8 de &amp;"Tahoma,Negrita"&amp;9&amp;N</oddFooter>
  </headerFooter>
  <rowBreaks count="1" manualBreakCount="1">
    <brk id="85" max="16383" man="1"/>
  </rowBreaks>
  <colBreaks count="1" manualBreakCount="1">
    <brk id="1" max="1048575" man="1"/>
  </colBreaks>
  <cellWatches>
    <cellWatch r="E96"/>
    <cellWatch r="E97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4" name="Check Box 61">
              <controlPr defaultSize="0" autoFill="0" autoLine="0" autoPict="0">
                <anchor moveWithCells="1">
                  <from>
                    <xdr:col>9</xdr:col>
                    <xdr:colOff>47625</xdr:colOff>
                    <xdr:row>91</xdr:row>
                    <xdr:rowOff>0</xdr:rowOff>
                  </from>
                  <to>
                    <xdr:col>10</xdr:col>
                    <xdr:colOff>38100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Drop Down 46">
              <controlPr defaultSize="0" print="0" autoLine="0" autoPict="0">
                <anchor moveWithCells="1">
                  <from>
                    <xdr:col>17</xdr:col>
                    <xdr:colOff>57150</xdr:colOff>
                    <xdr:row>8</xdr:row>
                    <xdr:rowOff>28575</xdr:rowOff>
                  </from>
                  <to>
                    <xdr:col>32</xdr:col>
                    <xdr:colOff>142875</xdr:colOff>
                    <xdr:row>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print="0" autoFill="0" autoLine="0" autoPict="0">
                <anchor moveWithCells="1">
                  <from>
                    <xdr:col>9</xdr:col>
                    <xdr:colOff>47625</xdr:colOff>
                    <xdr:row>91</xdr:row>
                    <xdr:rowOff>0</xdr:rowOff>
                  </from>
                  <to>
                    <xdr:col>10</xdr:col>
                    <xdr:colOff>38100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" name="Option Button 7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91</xdr:row>
                    <xdr:rowOff>0</xdr:rowOff>
                  </from>
                  <to>
                    <xdr:col>2</xdr:col>
                    <xdr:colOff>285750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" name="Option Button 7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92</xdr:row>
                    <xdr:rowOff>9525</xdr:rowOff>
                  </from>
                  <to>
                    <xdr:col>2</xdr:col>
                    <xdr:colOff>285750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" name="Option Button 139">
              <controlPr defaultSize="0" autoFill="0" autoLine="0" autoPict="0">
                <anchor moveWithCells="1" sizeWithCells="1">
                  <from>
                    <xdr:col>6</xdr:col>
                    <xdr:colOff>180975</xdr:colOff>
                    <xdr:row>71</xdr:row>
                    <xdr:rowOff>95250</xdr:rowOff>
                  </from>
                  <to>
                    <xdr:col>7</xdr:col>
                    <xdr:colOff>295275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" name="Option Button 140">
              <controlPr defaultSize="0" autoFill="0" autoLine="0" autoPict="0">
                <anchor moveWithCells="1" sizeWithCells="1">
                  <from>
                    <xdr:col>7</xdr:col>
                    <xdr:colOff>285750</xdr:colOff>
                    <xdr:row>71</xdr:row>
                    <xdr:rowOff>95250</xdr:rowOff>
                  </from>
                  <to>
                    <xdr:col>9</xdr:col>
                    <xdr:colOff>200025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1" name="Drop Down 182">
              <controlPr defaultSize="0" print="0" autoLine="0" autoPict="0">
                <anchor moveWithCells="1">
                  <from>
                    <xdr:col>16</xdr:col>
                    <xdr:colOff>38100</xdr:colOff>
                    <xdr:row>72</xdr:row>
                    <xdr:rowOff>133350</xdr:rowOff>
                  </from>
                  <to>
                    <xdr:col>32</xdr:col>
                    <xdr:colOff>190500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12" name="Group Box 514">
              <controlPr locked="0" defaultSize="0" print="0" autoFill="0" autoPict="0">
                <anchor moveWithCells="1">
                  <from>
                    <xdr:col>6</xdr:col>
                    <xdr:colOff>104775</xdr:colOff>
                    <xdr:row>71</xdr:row>
                    <xdr:rowOff>85725</xdr:rowOff>
                  </from>
                  <to>
                    <xdr:col>9</xdr:col>
                    <xdr:colOff>228600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13" name="Group Box 969">
              <controlPr defaultSize="0" autoFill="0" autoPict="0">
                <anchor>
                  <from>
                    <xdr:col>16</xdr:col>
                    <xdr:colOff>0</xdr:colOff>
                    <xdr:row>69</xdr:row>
                    <xdr:rowOff>38100</xdr:rowOff>
                  </from>
                  <to>
                    <xdr:col>33</xdr:col>
                    <xdr:colOff>28575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14" name="Group Box 982">
              <controlPr defaultSize="0" autoFill="0" autoPict="0">
                <anchor moveWithCells="1">
                  <from>
                    <xdr:col>16</xdr:col>
                    <xdr:colOff>38100</xdr:colOff>
                    <xdr:row>72</xdr:row>
                    <xdr:rowOff>9525</xdr:rowOff>
                  </from>
                  <to>
                    <xdr:col>32</xdr:col>
                    <xdr:colOff>209550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15" name="Group Box 984">
              <controlPr defaultSize="0" autoFill="0" autoPict="0">
                <anchor moveWithCells="1">
                  <from>
                    <xdr:col>6</xdr:col>
                    <xdr:colOff>161925</xdr:colOff>
                    <xdr:row>71</xdr:row>
                    <xdr:rowOff>66675</xdr:rowOff>
                  </from>
                  <to>
                    <xdr:col>9</xdr:col>
                    <xdr:colOff>209550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16" name="Group Box 985">
              <controlPr defaultSize="0" autoFill="0" autoPict="0">
                <anchor moveWithCells="1">
                  <from>
                    <xdr:col>11</xdr:col>
                    <xdr:colOff>123825</xdr:colOff>
                    <xdr:row>77</xdr:row>
                    <xdr:rowOff>57150</xdr:rowOff>
                  </from>
                  <to>
                    <xdr:col>15</xdr:col>
                    <xdr:colOff>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17" name="Group Box 988">
              <controlPr defaultSize="0" autoFill="0" autoPict="0">
                <anchor moveWithCells="1">
                  <from>
                    <xdr:col>2</xdr:col>
                    <xdr:colOff>66675</xdr:colOff>
                    <xdr:row>91</xdr:row>
                    <xdr:rowOff>0</xdr:rowOff>
                  </from>
                  <to>
                    <xdr:col>3</xdr:col>
                    <xdr:colOff>0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" r:id="rId18" name="Drop Down 1490">
              <controlPr defaultSize="0" print="0" autoLine="0" autoPict="0">
                <anchor moveWithCells="1">
                  <from>
                    <xdr:col>16</xdr:col>
                    <xdr:colOff>38100</xdr:colOff>
                    <xdr:row>68</xdr:row>
                    <xdr:rowOff>114300</xdr:rowOff>
                  </from>
                  <to>
                    <xdr:col>32</xdr:col>
                    <xdr:colOff>190500</xdr:colOff>
                    <xdr:row>70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8" r:id="rId19" name="Drop Down 1492">
              <controlPr defaultSize="0" print="0" autoLine="0" autoPict="0">
                <anchor mov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12</xdr:col>
                    <xdr:colOff>381000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0" r:id="rId20" name="Drop Down 1494">
              <controlPr defaultSize="0" print="0" autoLine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12</xdr:col>
                    <xdr:colOff>381000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1" r:id="rId21" name="Drop Down 1495">
              <controlPr defaultSize="0" print="0" autoLine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12</xdr:col>
                    <xdr:colOff>381000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2" r:id="rId22" name="Drop Down 1496">
              <controlPr defaultSize="0" print="0" autoLine="0" autoPict="0">
                <anchor moveWithCells="1">
                  <from>
                    <xdr:col>13</xdr:col>
                    <xdr:colOff>0</xdr:colOff>
                    <xdr:row>45</xdr:row>
                    <xdr:rowOff>0</xdr:rowOff>
                  </from>
                  <to>
                    <xdr:col>21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3" r:id="rId23" name="Drop Down 1497">
              <controlPr defaultSize="0" print="0" autoLine="0" autoPict="0">
                <anchor moveWithCells="1">
                  <from>
                    <xdr:col>13</xdr:col>
                    <xdr:colOff>0</xdr:colOff>
                    <xdr:row>53</xdr:row>
                    <xdr:rowOff>0</xdr:rowOff>
                  </from>
                  <to>
                    <xdr:col>21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4" r:id="rId24" name="Drop Down 1498">
              <controlPr defaultSize="0" print="0" autoLine="0" autoPict="0">
                <anchor moveWithCells="1">
                  <from>
                    <xdr:col>13</xdr:col>
                    <xdr:colOff>0</xdr:colOff>
                    <xdr:row>61</xdr:row>
                    <xdr:rowOff>0</xdr:rowOff>
                  </from>
                  <to>
                    <xdr:col>21</xdr:col>
                    <xdr:colOff>9525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6" r:id="rId25" name="Group Box 1500">
              <controlPr defaultSize="0" print="0" autoFill="0" autoPict="0">
                <anchor moveWithCells="1">
                  <from>
                    <xdr:col>11</xdr:col>
                    <xdr:colOff>0</xdr:colOff>
                    <xdr:row>73</xdr:row>
                    <xdr:rowOff>0</xdr:rowOff>
                  </from>
                  <to>
                    <xdr:col>16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9" r:id="rId26" name="Group Box 1503">
              <controlPr defaultSize="0" print="0" autoFill="0" autoPict="0">
                <anchor moveWithCells="1">
                  <from>
                    <xdr:col>11</xdr:col>
                    <xdr:colOff>0</xdr:colOff>
                    <xdr:row>76</xdr:row>
                    <xdr:rowOff>0</xdr:rowOff>
                  </from>
                  <to>
                    <xdr:col>16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27" name="Option Button 2359">
              <controlPr defaultSize="0" autoFill="0" autoLine="0" autoPict="0">
                <anchor moveWithCells="1" sizeWithCells="1">
                  <from>
                    <xdr:col>11</xdr:col>
                    <xdr:colOff>85725</xdr:colOff>
                    <xdr:row>78</xdr:row>
                    <xdr:rowOff>0</xdr:rowOff>
                  </from>
                  <to>
                    <xdr:col>12</xdr:col>
                    <xdr:colOff>190500</xdr:colOff>
                    <xdr:row>78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" r:id="rId28" name="Option Button 2360">
              <controlPr defaultSize="0" autoFill="0" autoLine="0" autoPict="0">
                <anchor moveWithCells="1" sizeWithCells="1">
                  <from>
                    <xdr:col>13</xdr:col>
                    <xdr:colOff>76200</xdr:colOff>
                    <xdr:row>78</xdr:row>
                    <xdr:rowOff>9525</xdr:rowOff>
                  </from>
                  <to>
                    <xdr:col>15</xdr:col>
                    <xdr:colOff>38100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9" name="Group Box 64">
              <controlPr defaultSize="0" print="0" autoFill="0" autoPict="0">
                <anchor moveWithCells="1" sizeWithCells="1">
                  <from>
                    <xdr:col>2</xdr:col>
                    <xdr:colOff>38100</xdr:colOff>
                    <xdr:row>100</xdr:row>
                    <xdr:rowOff>180975</xdr:rowOff>
                  </from>
                  <to>
                    <xdr:col>2</xdr:col>
                    <xdr:colOff>285750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0" name="Option Button 65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101</xdr:row>
                    <xdr:rowOff>19050</xdr:rowOff>
                  </from>
                  <to>
                    <xdr:col>2</xdr:col>
                    <xdr:colOff>276225</xdr:colOff>
                    <xdr:row>102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1" name="Option Button 66">
              <controlPr defaultSize="0" autoFill="0" autoLine="0" autoPict="0">
                <anchor moveWithCells="1" sizeWithCells="1">
                  <from>
                    <xdr:col>2</xdr:col>
                    <xdr:colOff>66675</xdr:colOff>
                    <xdr:row>102</xdr:row>
                    <xdr:rowOff>76200</xdr:rowOff>
                  </from>
                  <to>
                    <xdr:col>2</xdr:col>
                    <xdr:colOff>276225</xdr:colOff>
                    <xdr:row>103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indexed="21"/>
    <pageSetUpPr autoPageBreaks="0"/>
  </sheetPr>
  <dimension ref="A1:IO113"/>
  <sheetViews>
    <sheetView showOutlineSymbols="0" zoomScaleNormal="100" workbookViewId="0">
      <selection activeCell="J29" sqref="J29:L29"/>
    </sheetView>
  </sheetViews>
  <sheetFormatPr baseColWidth="10" defaultColWidth="0" defaultRowHeight="0" customHeight="1" zeroHeight="1" x14ac:dyDescent="0.2"/>
  <cols>
    <col min="1" max="1" width="4" style="57" customWidth="1"/>
    <col min="2" max="2" width="5.7109375" style="51" customWidth="1"/>
    <col min="3" max="3" width="9.7109375" style="51" customWidth="1"/>
    <col min="4" max="4" width="13.7109375" style="51" customWidth="1"/>
    <col min="5" max="5" width="9.7109375" style="51" customWidth="1"/>
    <col min="6" max="6" width="13.7109375" style="51" customWidth="1"/>
    <col min="7" max="8" width="8.7109375" style="51" customWidth="1"/>
    <col min="9" max="15" width="4.7109375" style="51" customWidth="1"/>
    <col min="16" max="16" width="3.7109375" style="58" customWidth="1"/>
    <col min="17" max="17" width="4.140625" style="58" hidden="1" customWidth="1"/>
    <col min="18" max="26" width="11.42578125" style="58" hidden="1" customWidth="1"/>
    <col min="27" max="31" width="11.42578125" style="59" hidden="1" customWidth="1"/>
    <col min="32" max="162" width="11.42578125" style="57" hidden="1" customWidth="1"/>
    <col min="163" max="163" width="7.7109375" style="57" hidden="1" customWidth="1"/>
    <col min="164" max="249" width="11.42578125" style="57" hidden="1" customWidth="1"/>
    <col min="250" max="16384" width="0" style="57" hidden="1"/>
  </cols>
  <sheetData>
    <row r="1" spans="1:16" ht="10.5" customHeight="1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ht="8.25" customHeight="1" x14ac:dyDescent="0.2">
      <c r="A2" s="78"/>
      <c r="B2" s="77"/>
      <c r="C2" s="50"/>
      <c r="D2" s="50"/>
      <c r="E2" s="583" t="s">
        <v>820</v>
      </c>
      <c r="F2" s="583"/>
      <c r="G2" s="583"/>
      <c r="H2" s="583"/>
      <c r="I2" s="583"/>
      <c r="J2" s="583"/>
      <c r="K2" s="583"/>
      <c r="L2" s="583"/>
      <c r="M2" s="583"/>
      <c r="N2" s="583"/>
      <c r="O2" s="584"/>
      <c r="P2" s="79"/>
    </row>
    <row r="3" spans="1:16" ht="60" customHeight="1" x14ac:dyDescent="0.2">
      <c r="A3" s="78"/>
      <c r="B3" s="587"/>
      <c r="C3" s="588"/>
      <c r="D3" s="70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6"/>
      <c r="P3" s="79"/>
    </row>
    <row r="4" spans="1:16" ht="6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0"/>
    </row>
    <row r="5" spans="1:16" ht="27" customHeight="1" x14ac:dyDescent="0.2">
      <c r="A5" s="78"/>
      <c r="B5" s="589" t="s">
        <v>83</v>
      </c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1"/>
      <c r="P5" s="79"/>
    </row>
    <row r="6" spans="1:16" ht="5.25" hidden="1" customHeight="1" x14ac:dyDescent="0.2">
      <c r="A6" s="78"/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79"/>
    </row>
    <row r="7" spans="1:16" ht="12" hidden="1" customHeight="1" x14ac:dyDescent="0.2">
      <c r="A7" s="78"/>
      <c r="B7" s="209"/>
      <c r="C7" s="599">
        <v>1</v>
      </c>
      <c r="D7" s="596" t="s">
        <v>57</v>
      </c>
      <c r="E7" s="597"/>
      <c r="F7" s="597"/>
      <c r="G7" s="597"/>
      <c r="H7" s="597"/>
      <c r="I7" s="597"/>
      <c r="J7" s="597"/>
      <c r="K7" s="597"/>
      <c r="L7" s="597"/>
      <c r="M7" s="597"/>
      <c r="N7" s="598"/>
      <c r="O7" s="211"/>
      <c r="P7" s="79"/>
    </row>
    <row r="8" spans="1:16" ht="12" hidden="1" customHeight="1" x14ac:dyDescent="0.2">
      <c r="A8" s="78"/>
      <c r="B8" s="209"/>
      <c r="C8" s="595"/>
      <c r="D8" s="592"/>
      <c r="E8" s="593"/>
      <c r="F8" s="593"/>
      <c r="G8" s="593"/>
      <c r="H8" s="593"/>
      <c r="I8" s="593"/>
      <c r="J8" s="593"/>
      <c r="K8" s="593"/>
      <c r="L8" s="593"/>
      <c r="M8" s="593"/>
      <c r="N8" s="594"/>
      <c r="O8" s="211"/>
      <c r="P8" s="79"/>
    </row>
    <row r="9" spans="1:16" ht="12" hidden="1" customHeight="1" x14ac:dyDescent="0.2">
      <c r="A9" s="78"/>
      <c r="B9" s="209"/>
      <c r="C9" s="565">
        <v>2</v>
      </c>
      <c r="D9" s="559" t="s">
        <v>56</v>
      </c>
      <c r="E9" s="560"/>
      <c r="F9" s="560"/>
      <c r="G9" s="560"/>
      <c r="H9" s="560"/>
      <c r="I9" s="560"/>
      <c r="J9" s="560"/>
      <c r="K9" s="560"/>
      <c r="L9" s="560"/>
      <c r="M9" s="560"/>
      <c r="N9" s="561"/>
      <c r="O9" s="211"/>
      <c r="P9" s="79"/>
    </row>
    <row r="10" spans="1:16" ht="12" hidden="1" customHeight="1" x14ac:dyDescent="0.2">
      <c r="A10" s="78"/>
      <c r="B10" s="209"/>
      <c r="C10" s="595"/>
      <c r="D10" s="592"/>
      <c r="E10" s="593"/>
      <c r="F10" s="593"/>
      <c r="G10" s="593"/>
      <c r="H10" s="593"/>
      <c r="I10" s="593"/>
      <c r="J10" s="593"/>
      <c r="K10" s="593"/>
      <c r="L10" s="593"/>
      <c r="M10" s="593"/>
      <c r="N10" s="594"/>
      <c r="O10" s="211"/>
      <c r="P10" s="79"/>
    </row>
    <row r="11" spans="1:16" ht="12" hidden="1" customHeight="1" x14ac:dyDescent="0.2">
      <c r="A11" s="78"/>
      <c r="B11" s="209"/>
      <c r="C11" s="565">
        <v>3</v>
      </c>
      <c r="D11" s="559" t="s">
        <v>58</v>
      </c>
      <c r="E11" s="560"/>
      <c r="F11" s="560"/>
      <c r="G11" s="560"/>
      <c r="H11" s="560"/>
      <c r="I11" s="560"/>
      <c r="J11" s="560"/>
      <c r="K11" s="560"/>
      <c r="L11" s="560"/>
      <c r="M11" s="560"/>
      <c r="N11" s="561"/>
      <c r="O11" s="211"/>
      <c r="P11" s="79"/>
    </row>
    <row r="12" spans="1:16" ht="12" hidden="1" customHeight="1" thickBot="1" x14ac:dyDescent="0.25">
      <c r="A12" s="78"/>
      <c r="B12" s="209"/>
      <c r="C12" s="566"/>
      <c r="D12" s="562"/>
      <c r="E12" s="563"/>
      <c r="F12" s="563"/>
      <c r="G12" s="563"/>
      <c r="H12" s="563"/>
      <c r="I12" s="563"/>
      <c r="J12" s="563"/>
      <c r="K12" s="563"/>
      <c r="L12" s="563"/>
      <c r="M12" s="563"/>
      <c r="N12" s="564"/>
      <c r="O12" s="211"/>
      <c r="P12" s="79"/>
    </row>
    <row r="13" spans="1:16" ht="5.25" hidden="1" customHeight="1" thickTop="1" x14ac:dyDescent="0.2">
      <c r="A13" s="78"/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1"/>
      <c r="P13" s="79"/>
    </row>
    <row r="14" spans="1:16" ht="34.5" hidden="1" customHeight="1" x14ac:dyDescent="0.2">
      <c r="A14" s="78"/>
      <c r="B14" s="215"/>
      <c r="C14" s="576" t="s">
        <v>821</v>
      </c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216"/>
      <c r="P14" s="79"/>
    </row>
    <row r="15" spans="1:16" ht="6" customHeight="1" x14ac:dyDescent="0.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0"/>
    </row>
    <row r="16" spans="1:16" ht="6" hidden="1" customHeight="1" x14ac:dyDescent="0.2">
      <c r="A16" s="78"/>
      <c r="B16" s="71"/>
      <c r="C16" s="73">
        <v>6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1"/>
      <c r="P16" s="79"/>
    </row>
    <row r="17" spans="1:16" ht="18" hidden="1" customHeight="1" x14ac:dyDescent="0.2">
      <c r="A17" s="78"/>
      <c r="B17" s="71"/>
      <c r="C17" s="567" t="s">
        <v>46</v>
      </c>
      <c r="D17" s="568"/>
      <c r="E17" s="568"/>
      <c r="F17" s="568"/>
      <c r="G17" s="568"/>
      <c r="H17" s="568"/>
      <c r="I17" s="568"/>
      <c r="J17" s="568"/>
      <c r="K17" s="568"/>
      <c r="L17" s="568"/>
      <c r="M17" s="568"/>
      <c r="N17" s="569"/>
      <c r="O17" s="71"/>
      <c r="P17" s="79"/>
    </row>
    <row r="18" spans="1:16" ht="24.6" hidden="1" customHeight="1" x14ac:dyDescent="0.2">
      <c r="A18" s="78"/>
      <c r="B18" s="577" t="str">
        <f>VLOOKUP(C16,' Datos de Organizadores '!A3:K11,2)</f>
        <v>III Rallye Rías Altas Histórico</v>
      </c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9"/>
      <c r="P18" s="79"/>
    </row>
    <row r="19" spans="1:16" ht="6" hidden="1" customHeight="1" x14ac:dyDescent="0.2">
      <c r="A19" s="78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79"/>
    </row>
    <row r="20" spans="1:16" ht="18" hidden="1" customHeight="1" x14ac:dyDescent="0.2">
      <c r="A20" s="78"/>
      <c r="B20" s="71"/>
      <c r="C20" s="573" t="s">
        <v>44</v>
      </c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71"/>
      <c r="P20" s="79"/>
    </row>
    <row r="21" spans="1:16" ht="18" hidden="1" customHeight="1" x14ac:dyDescent="0.2">
      <c r="A21" s="78"/>
      <c r="B21" s="580" t="s">
        <v>80</v>
      </c>
      <c r="C21" s="76" t="s">
        <v>77</v>
      </c>
      <c r="D21" s="581" t="str">
        <f>VLOOKUP($C$16,' Datos de Organizadores '!$A$3:$K$11,3)</f>
        <v>CLUB RALLYE RIAS ALTAS</v>
      </c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79"/>
    </row>
    <row r="22" spans="1:16" ht="18" hidden="1" customHeight="1" x14ac:dyDescent="0.2">
      <c r="A22" s="78"/>
      <c r="B22" s="580"/>
      <c r="C22" s="76" t="s">
        <v>5</v>
      </c>
      <c r="D22" s="581" t="str">
        <f>VLOOKUP($C$16,' Datos de Organizadores '!$A$3:$K$11,4)</f>
        <v>C/ Parroquia de Guísamo, Parcela A2, Nave 7</v>
      </c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79"/>
    </row>
    <row r="23" spans="1:16" ht="18" hidden="1" customHeight="1" x14ac:dyDescent="0.2">
      <c r="A23" s="78"/>
      <c r="B23" s="580"/>
      <c r="C23" s="76" t="s">
        <v>78</v>
      </c>
      <c r="D23" s="74" t="str">
        <f>VLOOKUP($C$16,' Datos de Organizadores '!$A$3:$K$11,5)</f>
        <v>15165</v>
      </c>
      <c r="E23" s="76" t="s">
        <v>42</v>
      </c>
      <c r="F23" s="582" t="str">
        <f>VLOOKUP($C$16,' Datos de Organizadores '!$A$3:$K$11,6)</f>
        <v>BERGONDO</v>
      </c>
      <c r="G23" s="582"/>
      <c r="H23" s="582"/>
      <c r="I23" s="582"/>
      <c r="J23" s="582"/>
      <c r="K23" s="582"/>
      <c r="L23" s="582"/>
      <c r="M23" s="582"/>
      <c r="N23" s="582"/>
      <c r="O23" s="582"/>
      <c r="P23" s="79"/>
    </row>
    <row r="24" spans="1:16" ht="18" hidden="1" customHeight="1" x14ac:dyDescent="0.2">
      <c r="A24" s="78"/>
      <c r="B24" s="580"/>
      <c r="C24" s="76" t="s">
        <v>49</v>
      </c>
      <c r="D24" s="582" t="str">
        <f>IF(VLOOKUP($C$16,' Datos de Organizadores '!$A$3:$K$11,7)&lt;&gt;0,"("&amp;(VLOOKUP($C$16,' Datos de Organizadores '!$A$3:$K$11,7)&amp;")"),"")</f>
        <v>(A CORUÑA)</v>
      </c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79"/>
    </row>
    <row r="25" spans="1:16" ht="18" hidden="1" customHeight="1" x14ac:dyDescent="0.2">
      <c r="A25" s="78"/>
      <c r="B25" s="580"/>
      <c r="C25" s="76" t="s">
        <v>39</v>
      </c>
      <c r="D25" s="75" t="str">
        <f>VLOOKUP($C$16,' Datos de Organizadores '!$A$3:$K$11,8)</f>
        <v>676 857 909</v>
      </c>
      <c r="E25" s="76" t="s">
        <v>822</v>
      </c>
      <c r="F25" s="75">
        <f>VLOOKUP($C$16,' Datos de Organizadores '!$A$3:$K$11,9)</f>
        <v>0</v>
      </c>
      <c r="G25" s="76" t="s">
        <v>823</v>
      </c>
      <c r="H25" s="575" t="str">
        <f>VLOOKUP($C$16,' Datos de Organizadores '!$A$3:$K$11,10)</f>
        <v>inscripciones@rallyeriasaltas.com</v>
      </c>
      <c r="I25" s="575"/>
      <c r="J25" s="575"/>
      <c r="K25" s="575"/>
      <c r="L25" s="575"/>
      <c r="M25" s="575"/>
      <c r="N25" s="575"/>
      <c r="O25" s="575"/>
      <c r="P25" s="79"/>
    </row>
    <row r="26" spans="1:16" ht="6" hidden="1" customHeight="1" x14ac:dyDescent="0.2">
      <c r="A26" s="78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9"/>
    </row>
    <row r="27" spans="1:16" ht="15.95" hidden="1" customHeight="1" x14ac:dyDescent="0.2">
      <c r="A27" s="78"/>
      <c r="B27" s="71"/>
      <c r="C27" s="570" t="s">
        <v>32</v>
      </c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2"/>
      <c r="O27" s="71"/>
      <c r="P27" s="79"/>
    </row>
    <row r="28" spans="1:16" ht="20.100000000000001" customHeight="1" x14ac:dyDescent="0.2">
      <c r="A28" s="78"/>
      <c r="B28" s="558" t="s">
        <v>81</v>
      </c>
      <c r="C28" s="549" t="s">
        <v>35</v>
      </c>
      <c r="D28" s="549"/>
      <c r="E28" s="549"/>
      <c r="F28" s="549"/>
      <c r="G28" s="549"/>
      <c r="H28" s="549"/>
      <c r="I28" s="550"/>
      <c r="J28" s="544" t="s">
        <v>62</v>
      </c>
      <c r="K28" s="544"/>
      <c r="L28" s="544"/>
      <c r="M28" s="544" t="s">
        <v>63</v>
      </c>
      <c r="N28" s="544"/>
      <c r="O28" s="544"/>
      <c r="P28" s="79"/>
    </row>
    <row r="29" spans="1:16" ht="18" customHeight="1" x14ac:dyDescent="0.2">
      <c r="A29" s="78"/>
      <c r="B29" s="558"/>
      <c r="C29" s="545" t="s">
        <v>840</v>
      </c>
      <c r="D29" s="545"/>
      <c r="E29" s="545"/>
      <c r="F29" s="545"/>
      <c r="G29" s="545"/>
      <c r="H29" s="545"/>
      <c r="I29" s="545"/>
      <c r="J29" s="539">
        <v>485</v>
      </c>
      <c r="K29" s="540"/>
      <c r="L29" s="540"/>
      <c r="M29" s="546">
        <f>2*J29</f>
        <v>970</v>
      </c>
      <c r="N29" s="546"/>
      <c r="O29" s="546"/>
      <c r="P29" s="79"/>
    </row>
    <row r="30" spans="1:16" ht="18" customHeight="1" x14ac:dyDescent="0.2">
      <c r="A30" s="78"/>
      <c r="B30" s="558"/>
      <c r="C30" s="545" t="s">
        <v>914</v>
      </c>
      <c r="D30" s="545"/>
      <c r="E30" s="545"/>
      <c r="F30" s="545"/>
      <c r="G30" s="545"/>
      <c r="H30" s="545"/>
      <c r="I30" s="545"/>
      <c r="J30" s="539">
        <v>350</v>
      </c>
      <c r="K30" s="540"/>
      <c r="L30" s="540"/>
      <c r="M30" s="546">
        <f>2*J30</f>
        <v>700</v>
      </c>
      <c r="N30" s="546"/>
      <c r="O30" s="546"/>
      <c r="P30" s="79"/>
    </row>
    <row r="31" spans="1:16" ht="18" customHeight="1" x14ac:dyDescent="0.2">
      <c r="A31" s="78"/>
      <c r="B31" s="558"/>
      <c r="C31" s="545" t="s">
        <v>841</v>
      </c>
      <c r="D31" s="545"/>
      <c r="E31" s="545"/>
      <c r="F31" s="545"/>
      <c r="G31" s="545"/>
      <c r="H31" s="545"/>
      <c r="I31" s="545"/>
      <c r="J31" s="539">
        <v>300</v>
      </c>
      <c r="K31" s="540"/>
      <c r="L31" s="540"/>
      <c r="M31" s="546">
        <f>2*J31</f>
        <v>600</v>
      </c>
      <c r="N31" s="546"/>
      <c r="O31" s="546"/>
      <c r="P31" s="79"/>
    </row>
    <row r="32" spans="1:16" ht="18" customHeight="1" x14ac:dyDescent="0.2">
      <c r="A32" s="78"/>
      <c r="B32" s="558"/>
      <c r="C32" s="545" t="s">
        <v>79</v>
      </c>
      <c r="D32" s="545"/>
      <c r="E32" s="545"/>
      <c r="F32" s="545"/>
      <c r="G32" s="545"/>
      <c r="H32" s="545"/>
      <c r="I32" s="545"/>
      <c r="J32" s="538">
        <v>150</v>
      </c>
      <c r="K32" s="557"/>
      <c r="L32" s="557"/>
      <c r="M32" s="535"/>
      <c r="N32" s="535"/>
      <c r="O32" s="535"/>
      <c r="P32" s="79"/>
    </row>
    <row r="33" spans="1:31" ht="18" hidden="1" customHeight="1" x14ac:dyDescent="0.2">
      <c r="A33" s="78"/>
      <c r="B33" s="558"/>
      <c r="C33" s="545" t="s">
        <v>122</v>
      </c>
      <c r="D33" s="545"/>
      <c r="E33" s="545"/>
      <c r="F33" s="545"/>
      <c r="G33" s="545"/>
      <c r="H33" s="545"/>
      <c r="I33" s="545"/>
      <c r="J33" s="537">
        <v>0</v>
      </c>
      <c r="K33" s="537"/>
      <c r="L33" s="538"/>
      <c r="M33" s="536"/>
      <c r="N33" s="537"/>
      <c r="O33" s="538"/>
      <c r="P33" s="79"/>
    </row>
    <row r="34" spans="1:31" ht="18" hidden="1" customHeight="1" x14ac:dyDescent="0.2">
      <c r="A34" s="78"/>
      <c r="B34" s="558"/>
      <c r="C34" s="545" t="s">
        <v>29</v>
      </c>
      <c r="D34" s="545"/>
      <c r="E34" s="545"/>
      <c r="F34" s="545"/>
      <c r="G34" s="545"/>
      <c r="H34" s="545"/>
      <c r="I34" s="545"/>
      <c r="J34" s="537">
        <v>0</v>
      </c>
      <c r="K34" s="537"/>
      <c r="L34" s="538"/>
      <c r="M34" s="536"/>
      <c r="N34" s="537"/>
      <c r="O34" s="538"/>
      <c r="P34" s="79"/>
    </row>
    <row r="35" spans="1:31" s="245" customFormat="1" ht="6.95" customHeight="1" x14ac:dyDescent="0.2">
      <c r="B35" s="246"/>
      <c r="C35" s="247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9"/>
      <c r="AB35" s="249"/>
      <c r="AC35" s="249"/>
      <c r="AD35" s="249"/>
      <c r="AE35" s="249"/>
    </row>
    <row r="36" spans="1:31" ht="39.950000000000003" customHeight="1" x14ac:dyDescent="0.2">
      <c r="A36" s="78"/>
      <c r="B36" s="554" t="s">
        <v>850</v>
      </c>
      <c r="C36" s="555"/>
      <c r="D36" s="555"/>
      <c r="E36" s="555"/>
      <c r="F36" s="555"/>
      <c r="G36" s="556"/>
      <c r="H36" s="541" t="str">
        <f>VLOOKUP($C$16,' Datos de Organizadores '!A3:K11,11)</f>
        <v>ES43 0182 4655 7702 0158 5742</v>
      </c>
      <c r="I36" s="542"/>
      <c r="J36" s="542"/>
      <c r="K36" s="542"/>
      <c r="L36" s="542"/>
      <c r="M36" s="542"/>
      <c r="N36" s="542"/>
      <c r="O36" s="543"/>
      <c r="P36" s="79"/>
    </row>
    <row r="37" spans="1:31" ht="6.95" customHeight="1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31" ht="18" hidden="1" customHeight="1" x14ac:dyDescent="0.2">
      <c r="A38" s="78"/>
      <c r="B38" s="187"/>
      <c r="C38" s="188"/>
      <c r="D38" s="188"/>
      <c r="E38" s="188"/>
      <c r="F38" s="188"/>
      <c r="G38" s="188"/>
      <c r="H38" s="188"/>
      <c r="I38" s="188"/>
      <c r="J38" s="189"/>
      <c r="K38" s="189"/>
      <c r="L38" s="189"/>
      <c r="M38" s="189"/>
      <c r="N38" s="189"/>
      <c r="O38" s="189"/>
      <c r="P38" s="79"/>
    </row>
    <row r="39" spans="1:31" ht="18" hidden="1" customHeight="1" x14ac:dyDescent="0.2">
      <c r="A39" s="78"/>
      <c r="B39" s="187"/>
      <c r="C39" s="188"/>
      <c r="D39" s="188"/>
      <c r="E39" s="188"/>
      <c r="F39" s="188"/>
      <c r="G39" s="188"/>
      <c r="H39" s="188"/>
      <c r="I39" s="188"/>
      <c r="J39" s="189"/>
      <c r="K39" s="189"/>
      <c r="L39" s="189"/>
      <c r="M39" s="189"/>
      <c r="N39" s="189"/>
      <c r="O39" s="189"/>
      <c r="P39" s="79"/>
    </row>
    <row r="40" spans="1:31" ht="18" hidden="1" customHeight="1" x14ac:dyDescent="0.2">
      <c r="A40" s="78"/>
      <c r="B40" s="187"/>
      <c r="C40" s="188"/>
      <c r="D40" s="188"/>
      <c r="E40" s="188"/>
      <c r="F40" s="188"/>
      <c r="G40" s="188"/>
      <c r="H40" s="188"/>
      <c r="I40" s="188"/>
      <c r="J40" s="189"/>
      <c r="K40" s="189"/>
      <c r="L40" s="189"/>
      <c r="M40" s="189"/>
      <c r="N40" s="189"/>
      <c r="O40" s="189"/>
      <c r="P40" s="79"/>
    </row>
    <row r="41" spans="1:31" ht="6.75" hidden="1" customHeight="1" x14ac:dyDescent="0.2">
      <c r="A41" s="78"/>
      <c r="B41" s="81"/>
      <c r="C41" s="190">
        <v>1</v>
      </c>
      <c r="D41" s="190">
        <v>1</v>
      </c>
      <c r="E41" s="190">
        <v>1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79"/>
    </row>
    <row r="42" spans="1:31" ht="20.100000000000001" hidden="1" customHeight="1" x14ac:dyDescent="0.2">
      <c r="A42" s="78"/>
      <c r="B42" s="547" t="s">
        <v>82</v>
      </c>
      <c r="C42" s="548"/>
      <c r="D42" s="548"/>
      <c r="E42" s="548"/>
      <c r="F42" s="548"/>
      <c r="G42" s="548"/>
      <c r="H42" s="551"/>
      <c r="I42" s="552"/>
      <c r="J42" s="552"/>
      <c r="K42" s="552"/>
      <c r="L42" s="552"/>
      <c r="M42" s="552"/>
      <c r="N42" s="552"/>
      <c r="O42" s="553"/>
      <c r="P42" s="79"/>
    </row>
    <row r="43" spans="1:31" ht="14.1" hidden="1" customHeight="1" x14ac:dyDescent="0.2">
      <c r="A43" s="78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9"/>
    </row>
    <row r="44" spans="1:31" ht="14.1" hidden="1" customHeight="1" x14ac:dyDescent="0.2">
      <c r="A44" s="78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9"/>
    </row>
    <row r="45" spans="1:31" ht="14.1" hidden="1" customHeight="1" x14ac:dyDescent="0.2">
      <c r="A45" s="78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9"/>
    </row>
    <row r="46" spans="1:31" ht="6.95" hidden="1" customHeight="1" x14ac:dyDescent="0.2">
      <c r="A46" s="78"/>
      <c r="B46" s="78"/>
      <c r="C46" s="190">
        <v>62</v>
      </c>
      <c r="D46" s="190">
        <v>62</v>
      </c>
      <c r="E46" s="190">
        <v>62</v>
      </c>
      <c r="F46" s="203">
        <v>2</v>
      </c>
      <c r="G46" s="203">
        <v>2</v>
      </c>
      <c r="H46" s="78"/>
      <c r="I46" s="78"/>
      <c r="J46" s="78"/>
      <c r="K46" s="78"/>
      <c r="L46" s="78"/>
      <c r="M46" s="78"/>
      <c r="N46" s="78"/>
      <c r="O46" s="78"/>
      <c r="P46" s="79"/>
    </row>
    <row r="47" spans="1:31" ht="0" hidden="1" customHeight="1" x14ac:dyDescent="0.2"/>
    <row r="48" spans="1:31" ht="0" hidden="1" customHeight="1" x14ac:dyDescent="0.2"/>
    <row r="49" ht="0" hidden="1" customHeight="1" x14ac:dyDescent="0.2"/>
    <row r="50" ht="0" hidden="1" customHeight="1" x14ac:dyDescent="0.2"/>
    <row r="51" ht="0" hidden="1" customHeight="1" x14ac:dyDescent="0.2"/>
    <row r="52" ht="0" hidden="1" customHeight="1" x14ac:dyDescent="0.2"/>
    <row r="53" ht="0" hidden="1" customHeight="1" x14ac:dyDescent="0.2"/>
    <row r="54" ht="0" hidden="1" customHeight="1" x14ac:dyDescent="0.2"/>
    <row r="55" ht="0" hidden="1" customHeight="1" x14ac:dyDescent="0.2"/>
    <row r="56" ht="0" hidden="1" customHeight="1" x14ac:dyDescent="0.2"/>
    <row r="57" ht="0" hidden="1" customHeight="1" x14ac:dyDescent="0.2"/>
    <row r="58" ht="0" hidden="1" customHeight="1" x14ac:dyDescent="0.2"/>
    <row r="59" ht="0" hidden="1" customHeight="1" x14ac:dyDescent="0.2"/>
    <row r="60" ht="0" hidden="1" customHeight="1" x14ac:dyDescent="0.2"/>
    <row r="61" ht="0" hidden="1" customHeight="1" x14ac:dyDescent="0.2"/>
    <row r="62" ht="0" hidden="1" customHeight="1" x14ac:dyDescent="0.2"/>
    <row r="63" ht="0" hidden="1" customHeight="1" x14ac:dyDescent="0.2"/>
    <row r="64" ht="0" hidden="1" customHeight="1" x14ac:dyDescent="0.2"/>
    <row r="65" ht="0" hidden="1" customHeight="1" x14ac:dyDescent="0.2"/>
    <row r="66" ht="0" hidden="1" customHeight="1" x14ac:dyDescent="0.2"/>
    <row r="67" ht="0" hidden="1" customHeight="1" x14ac:dyDescent="0.2"/>
    <row r="68" ht="0" hidden="1" customHeight="1" x14ac:dyDescent="0.2"/>
    <row r="69" ht="0" hidden="1" customHeight="1" x14ac:dyDescent="0.2"/>
    <row r="70" ht="0" hidden="1" customHeight="1" x14ac:dyDescent="0.2"/>
    <row r="71" ht="0" hidden="1" customHeight="1" x14ac:dyDescent="0.2"/>
    <row r="72" ht="0" hidden="1" customHeight="1" x14ac:dyDescent="0.2"/>
    <row r="73" ht="0" hidden="1" customHeight="1" x14ac:dyDescent="0.2"/>
    <row r="74" ht="0" hidden="1" customHeight="1" x14ac:dyDescent="0.2"/>
    <row r="75" ht="0" hidden="1" customHeight="1" x14ac:dyDescent="0.2"/>
    <row r="76" ht="0" hidden="1" customHeight="1" x14ac:dyDescent="0.2"/>
    <row r="77" ht="0" hidden="1" customHeight="1" x14ac:dyDescent="0.2"/>
    <row r="78" ht="0" hidden="1" customHeight="1" x14ac:dyDescent="0.2"/>
    <row r="79" ht="0" hidden="1" customHeight="1" x14ac:dyDescent="0.2"/>
    <row r="80" ht="0" hidden="1" customHeight="1" x14ac:dyDescent="0.2"/>
    <row r="81" ht="0" hidden="1" customHeight="1" x14ac:dyDescent="0.2"/>
    <row r="82" ht="0" hidden="1" customHeight="1" x14ac:dyDescent="0.2"/>
    <row r="83" ht="0" hidden="1" customHeight="1" x14ac:dyDescent="0.2"/>
    <row r="84" ht="0" hidden="1" customHeight="1" x14ac:dyDescent="0.2"/>
    <row r="85" ht="0" hidden="1" customHeight="1" x14ac:dyDescent="0.2"/>
    <row r="86" ht="0" hidden="1" customHeight="1" x14ac:dyDescent="0.2"/>
    <row r="87" ht="0" hidden="1" customHeight="1" x14ac:dyDescent="0.2"/>
    <row r="88" ht="0" hidden="1" customHeight="1" x14ac:dyDescent="0.2"/>
    <row r="89" ht="0" hidden="1" customHeight="1" x14ac:dyDescent="0.2"/>
    <row r="90" ht="0" hidden="1" customHeight="1" x14ac:dyDescent="0.2"/>
    <row r="91" ht="0" hidden="1" customHeight="1" x14ac:dyDescent="0.2"/>
    <row r="92" ht="0" hidden="1" customHeight="1" x14ac:dyDescent="0.2"/>
    <row r="93" ht="0" hidden="1" customHeight="1" x14ac:dyDescent="0.2"/>
    <row r="94" ht="0" hidden="1" customHeight="1" x14ac:dyDescent="0.2"/>
    <row r="95" ht="0" hidden="1" customHeight="1" x14ac:dyDescent="0.2"/>
    <row r="96" ht="0" hidden="1" customHeight="1" x14ac:dyDescent="0.2"/>
    <row r="97" spans="9:9" ht="0" hidden="1" customHeight="1" x14ac:dyDescent="0.2"/>
    <row r="98" spans="9:9" ht="0" hidden="1" customHeight="1" x14ac:dyDescent="0.2"/>
    <row r="99" spans="9:9" ht="0" hidden="1" customHeight="1" x14ac:dyDescent="0.2"/>
    <row r="100" spans="9:9" ht="0" hidden="1" customHeight="1" x14ac:dyDescent="0.2"/>
    <row r="101" spans="9:9" ht="0" hidden="1" customHeight="1" x14ac:dyDescent="0.2"/>
    <row r="102" spans="9:9" ht="0" hidden="1" customHeight="1" x14ac:dyDescent="0.2"/>
    <row r="103" spans="9:9" ht="0" hidden="1" customHeight="1" x14ac:dyDescent="0.2"/>
    <row r="104" spans="9:9" ht="0" hidden="1" customHeight="1" x14ac:dyDescent="0.2"/>
    <row r="105" spans="9:9" ht="0" hidden="1" customHeight="1" x14ac:dyDescent="0.2"/>
    <row r="106" spans="9:9" ht="0" hidden="1" customHeight="1" x14ac:dyDescent="0.2"/>
    <row r="107" spans="9:9" ht="0" hidden="1" customHeight="1" x14ac:dyDescent="0.2"/>
    <row r="108" spans="9:9" ht="0" hidden="1" customHeight="1" x14ac:dyDescent="0.2"/>
    <row r="109" spans="9:9" ht="0" hidden="1" customHeight="1" x14ac:dyDescent="0.2"/>
    <row r="110" spans="9:9" ht="0" hidden="1" customHeight="1" x14ac:dyDescent="0.2"/>
    <row r="111" spans="9:9" ht="0" hidden="1" customHeight="1" x14ac:dyDescent="0.2"/>
    <row r="112" spans="9:9" ht="0" hidden="1" customHeight="1" x14ac:dyDescent="0.2">
      <c r="I112" s="51">
        <v>62</v>
      </c>
    </row>
    <row r="113" spans="9:9" ht="0" hidden="1" customHeight="1" x14ac:dyDescent="0.2">
      <c r="I113" s="51">
        <v>62</v>
      </c>
    </row>
  </sheetData>
  <sheetProtection password="C9CD" sheet="1" objects="1" scenarios="1"/>
  <mergeCells count="46">
    <mergeCell ref="E2:O3"/>
    <mergeCell ref="B3:C3"/>
    <mergeCell ref="B5:O5"/>
    <mergeCell ref="D9:N10"/>
    <mergeCell ref="C9:C10"/>
    <mergeCell ref="D7:N8"/>
    <mergeCell ref="C7:C8"/>
    <mergeCell ref="D11:N12"/>
    <mergeCell ref="C11:C12"/>
    <mergeCell ref="C17:N17"/>
    <mergeCell ref="C27:N27"/>
    <mergeCell ref="C20:N20"/>
    <mergeCell ref="H25:O25"/>
    <mergeCell ref="C14:N14"/>
    <mergeCell ref="B18:O18"/>
    <mergeCell ref="B21:B25"/>
    <mergeCell ref="D21:O21"/>
    <mergeCell ref="D22:O22"/>
    <mergeCell ref="F23:O23"/>
    <mergeCell ref="D24:O24"/>
    <mergeCell ref="B42:G42"/>
    <mergeCell ref="J34:L34"/>
    <mergeCell ref="C28:I28"/>
    <mergeCell ref="C29:I29"/>
    <mergeCell ref="C32:I32"/>
    <mergeCell ref="C33:I33"/>
    <mergeCell ref="C34:I34"/>
    <mergeCell ref="C30:I30"/>
    <mergeCell ref="J30:L30"/>
    <mergeCell ref="H42:O42"/>
    <mergeCell ref="M30:O30"/>
    <mergeCell ref="B36:G36"/>
    <mergeCell ref="J32:L32"/>
    <mergeCell ref="J33:L33"/>
    <mergeCell ref="B28:B34"/>
    <mergeCell ref="M29:O29"/>
    <mergeCell ref="M32:O32"/>
    <mergeCell ref="M33:O33"/>
    <mergeCell ref="J29:L29"/>
    <mergeCell ref="H36:O36"/>
    <mergeCell ref="M28:O28"/>
    <mergeCell ref="J28:L28"/>
    <mergeCell ref="M34:O34"/>
    <mergeCell ref="C31:I31"/>
    <mergeCell ref="J31:L31"/>
    <mergeCell ref="M31:O31"/>
  </mergeCells>
  <dataValidations count="1">
    <dataValidation type="textLength" operator="equal" showInputMessage="1" showErrorMessage="1" errorTitle="Cuenta bancaria del Organizador" error="El código del Banco debe de tener una longitud de 4 caracteres" sqref="H42" xr:uid="{00000000-0002-0000-0100-000000000000}">
      <formula1>4</formula1>
    </dataValidation>
  </dataValidations>
  <hyperlinks>
    <hyperlink ref="H25" r:id="rId1" display="rourense@bme.es" xr:uid="{00000000-0004-0000-01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 r:id="rId2"/>
  <headerFooter alignWithMargins="0"/>
  <ignoredErrors>
    <ignoredError sqref="D22 M29:M30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5" name="Drop Down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27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autoPageBreaks="0"/>
  </sheetPr>
  <dimension ref="A1:U369"/>
  <sheetViews>
    <sheetView workbookViewId="0">
      <pane xSplit="1" ySplit="2" topLeftCell="B3" activePane="bottomRight" state="frozen"/>
      <selection activeCell="H14" sqref="H14"/>
      <selection pane="topRight" activeCell="H14" sqref="H14"/>
      <selection pane="bottomLeft" activeCell="H14" sqref="H14"/>
      <selection pane="bottomRight" activeCell="A8" sqref="A8"/>
    </sheetView>
  </sheetViews>
  <sheetFormatPr baseColWidth="10" defaultRowHeight="12.75" x14ac:dyDescent="0.2"/>
  <cols>
    <col min="1" max="1" width="3.7109375" style="2" customWidth="1"/>
    <col min="2" max="2" width="43.85546875" style="1" customWidth="1"/>
    <col min="3" max="3" width="41.85546875" style="1" customWidth="1"/>
    <col min="4" max="4" width="34.140625" style="1" bestFit="1" customWidth="1"/>
    <col min="5" max="5" width="24.5703125" style="2" customWidth="1"/>
    <col min="6" max="6" width="22.140625" style="1" customWidth="1"/>
    <col min="7" max="7" width="25.28515625" style="1" customWidth="1"/>
    <col min="8" max="9" width="13.7109375" style="2" customWidth="1"/>
    <col min="10" max="10" width="34.85546875" style="2" customWidth="1"/>
    <col min="11" max="11" width="26.140625" style="2" customWidth="1"/>
    <col min="12" max="17" width="12.7109375" customWidth="1"/>
    <col min="18" max="18" width="16.42578125" style="66" customWidth="1"/>
    <col min="19" max="19" width="11.7109375" style="67" bestFit="1" customWidth="1"/>
    <col min="20" max="20" width="16.42578125" style="66" customWidth="1"/>
    <col min="21" max="21" width="34.7109375" customWidth="1"/>
  </cols>
  <sheetData>
    <row r="1" spans="1:21" ht="30" customHeight="1" x14ac:dyDescent="0.2">
      <c r="A1" s="601" t="s">
        <v>59</v>
      </c>
      <c r="B1" s="601"/>
      <c r="C1" s="601"/>
      <c r="D1" s="601"/>
      <c r="E1" s="601"/>
      <c r="F1" s="601"/>
      <c r="G1" s="601"/>
      <c r="H1" s="601"/>
      <c r="I1" s="601"/>
      <c r="J1" s="601"/>
      <c r="K1" s="602"/>
      <c r="L1" s="607" t="s">
        <v>61</v>
      </c>
      <c r="M1" s="608"/>
      <c r="N1" s="607" t="s">
        <v>64</v>
      </c>
      <c r="O1" s="608"/>
      <c r="P1" s="225" t="s">
        <v>65</v>
      </c>
      <c r="Q1" s="65" t="s">
        <v>66</v>
      </c>
    </row>
    <row r="2" spans="1:21" s="3" customFormat="1" ht="18" customHeight="1" x14ac:dyDescent="0.2">
      <c r="A2" s="4" t="s">
        <v>45</v>
      </c>
      <c r="B2" s="4" t="s">
        <v>46</v>
      </c>
      <c r="C2" s="4" t="s">
        <v>47</v>
      </c>
      <c r="D2" s="4" t="s">
        <v>5</v>
      </c>
      <c r="E2" s="4" t="s">
        <v>48</v>
      </c>
      <c r="F2" s="4" t="s">
        <v>42</v>
      </c>
      <c r="G2" s="4" t="s">
        <v>49</v>
      </c>
      <c r="H2" s="4" t="s">
        <v>39</v>
      </c>
      <c r="I2" s="4" t="s">
        <v>43</v>
      </c>
      <c r="J2" s="4" t="s">
        <v>50</v>
      </c>
      <c r="K2" s="4" t="s">
        <v>51</v>
      </c>
      <c r="L2" s="221" t="s">
        <v>62</v>
      </c>
      <c r="M2" s="221" t="s">
        <v>63</v>
      </c>
      <c r="N2" s="221" t="s">
        <v>62</v>
      </c>
      <c r="O2" s="221" t="s">
        <v>63</v>
      </c>
      <c r="P2" s="221"/>
      <c r="Q2" s="4"/>
      <c r="R2" s="68"/>
      <c r="S2" s="69"/>
      <c r="T2" s="68"/>
    </row>
    <row r="3" spans="1:21" ht="16.149999999999999" customHeight="1" x14ac:dyDescent="0.2">
      <c r="A3" s="7">
        <v>1</v>
      </c>
      <c r="B3" s="8" t="s">
        <v>889</v>
      </c>
      <c r="C3" s="163" t="s">
        <v>864</v>
      </c>
      <c r="D3" s="163" t="s">
        <v>866</v>
      </c>
      <c r="E3" s="164" t="s">
        <v>142</v>
      </c>
      <c r="F3" s="163" t="s">
        <v>202</v>
      </c>
      <c r="G3" s="163" t="s">
        <v>145</v>
      </c>
      <c r="H3" s="166" t="s">
        <v>867</v>
      </c>
      <c r="I3" s="166" t="s">
        <v>149</v>
      </c>
      <c r="J3" s="206" t="s">
        <v>868</v>
      </c>
      <c r="K3" s="169" t="s">
        <v>869</v>
      </c>
      <c r="L3" s="223">
        <v>470</v>
      </c>
      <c r="M3" s="223">
        <v>940</v>
      </c>
      <c r="N3" s="223">
        <v>200</v>
      </c>
      <c r="O3" s="223">
        <v>400</v>
      </c>
      <c r="P3" s="223">
        <v>300</v>
      </c>
      <c r="Q3" s="63">
        <v>150</v>
      </c>
      <c r="R3" s="229">
        <f>' Derechos de Inscripción '!C16</f>
        <v>6</v>
      </c>
      <c r="S3" s="230" t="s">
        <v>67</v>
      </c>
      <c r="T3" s="140"/>
    </row>
    <row r="4" spans="1:21" ht="16.149999999999999" customHeight="1" x14ac:dyDescent="0.2">
      <c r="A4" s="7">
        <v>2</v>
      </c>
      <c r="B4" s="8" t="s">
        <v>890</v>
      </c>
      <c r="C4" s="163" t="s">
        <v>818</v>
      </c>
      <c r="D4" s="163" t="s">
        <v>843</v>
      </c>
      <c r="E4" s="164" t="s">
        <v>844</v>
      </c>
      <c r="F4" s="163" t="s">
        <v>845</v>
      </c>
      <c r="G4" s="163" t="s">
        <v>819</v>
      </c>
      <c r="H4" s="166" t="s">
        <v>846</v>
      </c>
      <c r="I4" s="166" t="s">
        <v>854</v>
      </c>
      <c r="J4" s="206" t="s">
        <v>847</v>
      </c>
      <c r="K4" s="166" t="s">
        <v>870</v>
      </c>
      <c r="L4" s="223">
        <v>470</v>
      </c>
      <c r="M4" s="223">
        <v>940</v>
      </c>
      <c r="N4" s="223">
        <v>200</v>
      </c>
      <c r="O4" s="223">
        <v>400</v>
      </c>
      <c r="P4" s="223">
        <v>300</v>
      </c>
      <c r="Q4" s="63">
        <v>150</v>
      </c>
      <c r="R4" s="229">
        <v>7</v>
      </c>
      <c r="S4" s="230" t="s">
        <v>158</v>
      </c>
      <c r="T4" s="140" t="b">
        <f>IF(Blanco=TRUE,FALSE,IF(Trofeo1=TRUE,#N/A,FALSE))</f>
        <v>0</v>
      </c>
    </row>
    <row r="5" spans="1:21" ht="16.149999999999999" customHeight="1" x14ac:dyDescent="0.2">
      <c r="A5" s="7">
        <v>3</v>
      </c>
      <c r="B5" s="8" t="s">
        <v>891</v>
      </c>
      <c r="C5" s="163" t="s">
        <v>817</v>
      </c>
      <c r="D5" s="163" t="s">
        <v>140</v>
      </c>
      <c r="E5" s="164" t="s">
        <v>141</v>
      </c>
      <c r="F5" s="163" t="s">
        <v>143</v>
      </c>
      <c r="G5" s="163" t="s">
        <v>52</v>
      </c>
      <c r="H5" s="166" t="s">
        <v>146</v>
      </c>
      <c r="I5" s="166" t="s">
        <v>147</v>
      </c>
      <c r="J5" s="206" t="s">
        <v>150</v>
      </c>
      <c r="K5" s="166" t="s">
        <v>842</v>
      </c>
      <c r="L5" s="222">
        <v>470</v>
      </c>
      <c r="M5" s="222">
        <v>940</v>
      </c>
      <c r="N5" s="222">
        <v>200</v>
      </c>
      <c r="O5" s="222">
        <v>400</v>
      </c>
      <c r="P5" s="222">
        <v>300</v>
      </c>
      <c r="Q5" s="62">
        <v>150</v>
      </c>
      <c r="R5" s="229">
        <v>1</v>
      </c>
      <c r="S5" s="230" t="s">
        <v>68</v>
      </c>
      <c r="T5" s="140">
        <v>0</v>
      </c>
      <c r="U5" t="str">
        <f>IF(Blanco=TRUE,"¡¡¡ ATENCIÓN !!! DATOS OCULTOS","ESTADO NORMAL (Todos los datos visibles)")</f>
        <v>ESTADO NORMAL (Todos los datos visibles)</v>
      </c>
    </row>
    <row r="6" spans="1:21" ht="16.149999999999999" customHeight="1" x14ac:dyDescent="0.2">
      <c r="A6" s="5">
        <v>4</v>
      </c>
      <c r="B6" s="6" t="s">
        <v>892</v>
      </c>
      <c r="C6" s="167" t="s">
        <v>139</v>
      </c>
      <c r="D6" s="167" t="s">
        <v>200</v>
      </c>
      <c r="E6" s="168" t="s">
        <v>201</v>
      </c>
      <c r="F6" s="167" t="s">
        <v>144</v>
      </c>
      <c r="G6" s="167" t="s">
        <v>52</v>
      </c>
      <c r="H6" s="169" t="s">
        <v>148</v>
      </c>
      <c r="I6" s="169" t="s">
        <v>811</v>
      </c>
      <c r="J6" s="206" t="s">
        <v>812</v>
      </c>
      <c r="K6" s="169" t="s">
        <v>848</v>
      </c>
      <c r="L6" s="223">
        <v>470</v>
      </c>
      <c r="M6" s="223">
        <v>940</v>
      </c>
      <c r="N6" s="223">
        <v>200</v>
      </c>
      <c r="O6" s="223">
        <v>400</v>
      </c>
      <c r="P6" s="223">
        <v>300</v>
      </c>
      <c r="Q6" s="63">
        <v>150</v>
      </c>
      <c r="R6" s="140"/>
      <c r="S6" s="141"/>
      <c r="T6" s="140"/>
    </row>
    <row r="7" spans="1:21" ht="16.149999999999999" customHeight="1" x14ac:dyDescent="0.2">
      <c r="A7" s="7">
        <v>5</v>
      </c>
      <c r="B7" s="8" t="s">
        <v>893</v>
      </c>
      <c r="C7" s="163" t="s">
        <v>816</v>
      </c>
      <c r="D7" s="163" t="s">
        <v>856</v>
      </c>
      <c r="E7" s="164" t="s">
        <v>857</v>
      </c>
      <c r="F7" s="163" t="s">
        <v>913</v>
      </c>
      <c r="G7" s="163" t="s">
        <v>858</v>
      </c>
      <c r="H7" s="166" t="s">
        <v>855</v>
      </c>
      <c r="I7" s="166" t="s">
        <v>853</v>
      </c>
      <c r="J7" s="207" t="s">
        <v>849</v>
      </c>
      <c r="K7" s="169" t="s">
        <v>871</v>
      </c>
      <c r="L7" s="223">
        <v>470</v>
      </c>
      <c r="M7" s="223">
        <v>940</v>
      </c>
      <c r="N7" s="223">
        <v>200</v>
      </c>
      <c r="O7" s="223">
        <v>400</v>
      </c>
      <c r="P7" s="223">
        <v>300</v>
      </c>
      <c r="Q7" s="63">
        <v>150</v>
      </c>
      <c r="R7" s="140"/>
      <c r="S7" s="141"/>
      <c r="T7" s="140"/>
    </row>
    <row r="8" spans="1:21" ht="16.149999999999999" customHeight="1" x14ac:dyDescent="0.2">
      <c r="A8" s="7">
        <v>6</v>
      </c>
      <c r="B8" s="8" t="s">
        <v>894</v>
      </c>
      <c r="C8" s="163" t="s">
        <v>915</v>
      </c>
      <c r="D8" s="163" t="s">
        <v>916</v>
      </c>
      <c r="E8" s="164" t="s">
        <v>917</v>
      </c>
      <c r="F8" s="163" t="s">
        <v>918</v>
      </c>
      <c r="G8" s="163" t="s">
        <v>872</v>
      </c>
      <c r="H8" s="165" t="s">
        <v>873</v>
      </c>
      <c r="I8" s="165"/>
      <c r="J8" s="207" t="s">
        <v>874</v>
      </c>
      <c r="K8" s="166" t="s">
        <v>919</v>
      </c>
      <c r="L8" s="223"/>
      <c r="M8" s="223"/>
      <c r="N8" s="223"/>
      <c r="O8" s="223"/>
      <c r="P8" s="223"/>
      <c r="Q8" s="63"/>
      <c r="R8" s="140">
        <v>1</v>
      </c>
      <c r="S8" s="141" t="s">
        <v>851</v>
      </c>
      <c r="T8" s="140"/>
    </row>
    <row r="9" spans="1:21" ht="16.149999999999999" customHeight="1" x14ac:dyDescent="0.2">
      <c r="A9" s="7"/>
      <c r="B9" s="8"/>
      <c r="C9" s="163"/>
      <c r="D9" s="163"/>
      <c r="E9" s="164"/>
      <c r="F9" s="163"/>
      <c r="G9" s="163"/>
      <c r="H9" s="166"/>
      <c r="I9" s="166"/>
      <c r="J9" s="251"/>
      <c r="K9" s="166"/>
      <c r="L9" s="223"/>
      <c r="M9" s="223"/>
      <c r="N9" s="223"/>
      <c r="O9" s="223"/>
      <c r="P9" s="223"/>
      <c r="Q9" s="63"/>
      <c r="R9" s="229" t="b">
        <v>0</v>
      </c>
      <c r="S9" s="230" t="s">
        <v>66</v>
      </c>
      <c r="T9" s="140" t="b">
        <f>IF(Blanco=TRUE,FALSE,IF(Auxiliar=TRUE,#N/A,FALSE))</f>
        <v>0</v>
      </c>
    </row>
    <row r="10" spans="1:21" ht="16.149999999999999" customHeight="1" x14ac:dyDescent="0.2">
      <c r="A10" s="7"/>
      <c r="B10" s="8"/>
      <c r="C10" s="163"/>
      <c r="D10" s="163"/>
      <c r="E10" s="164"/>
      <c r="F10" s="163"/>
      <c r="G10" s="163"/>
      <c r="H10" s="166"/>
      <c r="I10" s="166"/>
      <c r="J10" s="251"/>
      <c r="K10" s="166"/>
      <c r="L10" s="223"/>
      <c r="M10" s="223"/>
      <c r="N10" s="223"/>
      <c r="O10" s="223"/>
      <c r="P10" s="223"/>
      <c r="Q10" s="63"/>
      <c r="R10" s="229">
        <v>1</v>
      </c>
      <c r="S10" s="230" t="s">
        <v>831</v>
      </c>
      <c r="T10" s="140" t="b">
        <f>IF(Blanco=TRUE,FALSE,IF(Shakedown=TRUE,#N/A,FALSE))</f>
        <v>0</v>
      </c>
      <c r="U10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11" spans="1:21" ht="16.149999999999999" customHeight="1" x14ac:dyDescent="0.2">
      <c r="A11" s="9"/>
      <c r="B11" s="10"/>
      <c r="C11" s="10"/>
      <c r="D11" s="10"/>
      <c r="E11" s="49"/>
      <c r="F11" s="10"/>
      <c r="G11" s="10"/>
      <c r="H11" s="9"/>
      <c r="I11" s="9"/>
      <c r="J11" s="208"/>
      <c r="K11" s="9" t="s">
        <v>60</v>
      </c>
      <c r="L11" s="224"/>
      <c r="M11" s="224"/>
      <c r="N11" s="224"/>
      <c r="O11" s="224"/>
      <c r="P11" s="224"/>
      <c r="Q11" s="64"/>
      <c r="R11" s="140" t="b">
        <v>0</v>
      </c>
      <c r="S11" s="141" t="s">
        <v>69</v>
      </c>
      <c r="T11" s="140" t="b">
        <f>IF(Blanco=TRUE,FALSE,IF(Trofeo2=TRUE,#N/A,FALSE))</f>
        <v>0</v>
      </c>
    </row>
    <row r="12" spans="1:21" ht="16.149999999999999" customHeight="1" x14ac:dyDescent="0.2">
      <c r="A12" s="90"/>
      <c r="B12" s="91"/>
      <c r="C12" s="91"/>
      <c r="D12" s="91"/>
      <c r="E12" s="92"/>
      <c r="F12" s="91"/>
      <c r="G12" s="91"/>
      <c r="H12" s="90"/>
      <c r="I12" s="90"/>
      <c r="J12" s="93"/>
      <c r="K12" s="90"/>
      <c r="L12" s="94"/>
      <c r="M12" s="94"/>
      <c r="N12" s="94"/>
      <c r="O12" s="94"/>
      <c r="P12" s="94"/>
      <c r="Q12" s="94"/>
      <c r="R12" s="140" t="b">
        <v>0</v>
      </c>
      <c r="S12" s="141" t="s">
        <v>70</v>
      </c>
      <c r="T12" s="140" t="b">
        <f>IF(Blanco=TRUE,FALSE,IF(Trofeo3=TRUE,#N/A,FALSE))</f>
        <v>0</v>
      </c>
    </row>
    <row r="13" spans="1:21" ht="16.149999999999999" customHeight="1" x14ac:dyDescent="0.2">
      <c r="A13" s="90">
        <v>1</v>
      </c>
      <c r="B13" s="217" t="str">
        <f>IF(Campeonato&gt;6,"Seleccionar previamente el Campeonato al que se inscribe","Seleccionar el tipo de vehículo de la lista desplegable")</f>
        <v>Seleccionar previamente el Campeonato al que se inscribe</v>
      </c>
      <c r="C13" s="91"/>
      <c r="D13" s="91"/>
      <c r="E13" s="242"/>
      <c r="F13" s="91"/>
      <c r="G13" s="91"/>
      <c r="H13" s="90"/>
      <c r="I13" s="159"/>
      <c r="J13" s="93"/>
      <c r="K13" s="90"/>
      <c r="L13" s="94"/>
      <c r="M13" s="94"/>
      <c r="N13" s="94"/>
      <c r="O13" s="94"/>
      <c r="P13" s="94"/>
      <c r="Q13" s="94"/>
      <c r="R13" s="140" t="b">
        <v>0</v>
      </c>
      <c r="S13" s="141" t="s">
        <v>71</v>
      </c>
      <c r="T13" s="140" t="b">
        <f>IF(Blanco=TRUE,FALSE,IF(Trofeo4=TRUE,#N/A,FALSE))</f>
        <v>0</v>
      </c>
    </row>
    <row r="14" spans="1:21" ht="16.149999999999999" customHeight="1" x14ac:dyDescent="0.25">
      <c r="A14" s="90">
        <v>2</v>
      </c>
      <c r="B14" s="150" t="str">
        <f t="shared" ref="B14:B22" si="0">IF(Campeonato=1,B33,IF(Campeonato=2,B44,IF(Campeonato=3,B55,IF(Campeonato=4,B66,IF(Campeonato=5,B77,IF(Campeonato=6,B88,""))))))</f>
        <v/>
      </c>
      <c r="C14" s="236">
        <v>1</v>
      </c>
      <c r="D14" s="238" t="s">
        <v>865</v>
      </c>
      <c r="E14" s="233"/>
      <c r="F14" s="91"/>
      <c r="G14" s="91"/>
      <c r="H14" s="90"/>
      <c r="I14" s="90"/>
      <c r="J14" s="160"/>
      <c r="K14" s="250"/>
      <c r="L14" s="94"/>
      <c r="M14" s="94"/>
      <c r="N14" s="94"/>
      <c r="O14" s="94"/>
      <c r="P14" s="94"/>
      <c r="Q14" s="94"/>
      <c r="R14" s="140" t="b">
        <v>0</v>
      </c>
      <c r="S14" s="141" t="s">
        <v>108</v>
      </c>
      <c r="T14" s="140" t="b">
        <f>IF(Blanco=TRUE,FALSE,IF(Trofeo5=TRUE,#N/A,FALSE))</f>
        <v>0</v>
      </c>
    </row>
    <row r="15" spans="1:21" ht="16.149999999999999" customHeight="1" x14ac:dyDescent="0.2">
      <c r="A15" s="90">
        <v>3</v>
      </c>
      <c r="B15" s="150" t="str">
        <f t="shared" si="0"/>
        <v/>
      </c>
      <c r="C15" s="90" t="str">
        <f>IF(Seleccion=1,VLOOKUP(Seleccion,A13:B24,2),IF(Campeonato=1,VLOOKUP(Seleccion,TablaVelocidad,3),IF(Campeonato&lt;6,VLOOKUP(Seleccion,TablaRegularidad,3),"")))</f>
        <v>Seleccionar previamente el Campeonato al que se inscribe</v>
      </c>
      <c r="D15" s="91"/>
      <c r="E15" s="242"/>
      <c r="F15" s="91"/>
      <c r="G15" s="91"/>
      <c r="H15" s="90"/>
      <c r="I15" s="90"/>
      <c r="J15" s="93"/>
      <c r="K15" s="90"/>
      <c r="L15" s="94"/>
      <c r="M15" s="94"/>
      <c r="N15" s="94"/>
      <c r="O15" s="94"/>
      <c r="P15" s="94"/>
      <c r="Q15" s="94"/>
      <c r="R15" s="140" t="b">
        <v>0</v>
      </c>
      <c r="S15" s="141" t="s">
        <v>72</v>
      </c>
      <c r="T15" s="140" t="b">
        <f>IF(Blanco=TRUE,FALSE,IF(Trofeo6=TRUE,#N/A,FALSE))</f>
        <v>0</v>
      </c>
    </row>
    <row r="16" spans="1:21" ht="16.149999999999999" customHeight="1" x14ac:dyDescent="0.2">
      <c r="A16" s="2">
        <v>4</v>
      </c>
      <c r="B16" s="150" t="str">
        <f t="shared" si="0"/>
        <v/>
      </c>
      <c r="C16" s="2" t="str">
        <f>IF(Seleccion=1,"",IF(Campeonato=1,IF(Seleccion&lt;11,"Campeonato de España de Velocidad",IF(Seleccion=11,"---","Campeonato Autonómico")),IF(Categoria="Categoría 2","Campeonato de España de Regularidad",IF(Campeonato=3,"Campeonato de España de Regularidad","Copa de España de Regularidad"))))</f>
        <v/>
      </c>
      <c r="D16" s="91"/>
      <c r="E16" s="233"/>
      <c r="R16" s="140" t="b">
        <v>0</v>
      </c>
      <c r="S16" s="141" t="s">
        <v>104</v>
      </c>
      <c r="T16" s="140" t="b">
        <f>IF(Blanco=TRUE,FALSE,IF(Trofeo7=TRUE,#N/A,FALSE))</f>
        <v>0</v>
      </c>
    </row>
    <row r="17" spans="1:20" ht="16.149999999999999" customHeight="1" x14ac:dyDescent="0.2">
      <c r="A17" s="2">
        <v>5</v>
      </c>
      <c r="B17" s="150" t="str">
        <f t="shared" si="0"/>
        <v/>
      </c>
      <c r="C17" s="233"/>
      <c r="D17" s="91"/>
      <c r="E17" s="243"/>
      <c r="R17" s="140" t="b">
        <v>0</v>
      </c>
      <c r="S17" s="141" t="s">
        <v>105</v>
      </c>
      <c r="T17" s="140" t="b">
        <f>IF(Blanco=TRUE,FALSE,IF(Trofeo8=TRUE,#N/A,FALSE))</f>
        <v>0</v>
      </c>
    </row>
    <row r="18" spans="1:20" ht="16.149999999999999" customHeight="1" x14ac:dyDescent="0.2">
      <c r="A18" s="2">
        <v>6</v>
      </c>
      <c r="B18" s="150" t="str">
        <f t="shared" si="0"/>
        <v/>
      </c>
      <c r="C18" s="233"/>
      <c r="D18" s="91"/>
      <c r="E18" s="233"/>
      <c r="R18" s="140" t="b">
        <v>0</v>
      </c>
      <c r="S18" s="141" t="s">
        <v>106</v>
      </c>
      <c r="T18" s="140" t="b">
        <f>IF(Blanco=TRUE,FALSE,IF(Trofeo9=TRUE,#N/A,FALSE))</f>
        <v>0</v>
      </c>
    </row>
    <row r="19" spans="1:20" ht="16.149999999999999" customHeight="1" x14ac:dyDescent="0.2">
      <c r="A19" s="2">
        <v>7</v>
      </c>
      <c r="B19" s="150" t="str">
        <f t="shared" si="0"/>
        <v/>
      </c>
      <c r="C19" s="233"/>
      <c r="D19" s="91"/>
      <c r="E19" s="233"/>
      <c r="R19" s="140" t="b">
        <v>0</v>
      </c>
      <c r="S19" s="141" t="s">
        <v>107</v>
      </c>
      <c r="T19" s="140" t="b">
        <f>IF(Blanco=TRUE,FALSE,IF(Trofeo10=TRUE,#N/A,FALSE))</f>
        <v>0</v>
      </c>
    </row>
    <row r="20" spans="1:20" x14ac:dyDescent="0.2">
      <c r="A20" s="2">
        <v>8</v>
      </c>
      <c r="B20" s="150" t="str">
        <f t="shared" si="0"/>
        <v/>
      </c>
      <c r="C20" s="2"/>
      <c r="D20" s="153" t="e">
        <f>SUM(D21:D30)</f>
        <v>#REF!</v>
      </c>
      <c r="R20" s="138" t="b">
        <v>1</v>
      </c>
      <c r="S20" s="139" t="s">
        <v>73</v>
      </c>
      <c r="T20" s="66" t="e">
        <f>IF(Blanco=TRUE,FALSE,IF(España=TRUE,#N/A,FALSE))</f>
        <v>#N/A</v>
      </c>
    </row>
    <row r="21" spans="1:20" x14ac:dyDescent="0.2">
      <c r="A21" s="2">
        <v>9</v>
      </c>
      <c r="B21" s="150" t="str">
        <f t="shared" si="0"/>
        <v/>
      </c>
      <c r="C21" s="237" t="s">
        <v>886</v>
      </c>
      <c r="D21" s="91">
        <f>IF(' Boletín de Inscripción '!C69="",0,1)</f>
        <v>0</v>
      </c>
      <c r="E21" s="152" t="s">
        <v>91</v>
      </c>
      <c r="F21" s="233"/>
      <c r="R21" s="138" t="b">
        <f>IF(C14&gt;6,TRUE,FALSE)</f>
        <v>0</v>
      </c>
      <c r="S21" s="139" t="s">
        <v>74</v>
      </c>
      <c r="T21" s="66" t="b">
        <f>IF(C14&gt;6,#N/A,FALSE)</f>
        <v>0</v>
      </c>
    </row>
    <row r="22" spans="1:20" x14ac:dyDescent="0.2">
      <c r="A22" s="2">
        <v>10</v>
      </c>
      <c r="B22" s="150" t="str">
        <f t="shared" si="0"/>
        <v/>
      </c>
      <c r="C22" s="237" t="e">
        <f>IF(AND(Campeonato=1,Seleccion=2),#REF!,IF(AND(Campeonato=1,Seleccion=3),#REF!,IF(AND(Campeonato=1,Seleccion=4),#REF!,IF(AND(Campeonato=2,Seleccion=2),#REF!,IF(AND(Campeonato=2,Seleccion=3),#REF!,IF(AND(Campeonato=2,Seleccion=4),#REF!,#REF!))))))</f>
        <v>#REF!</v>
      </c>
      <c r="D22" s="91">
        <f>IF(' Boletín de Inscripción '!I69="",0,1)</f>
        <v>0</v>
      </c>
      <c r="E22" s="152" t="s">
        <v>92</v>
      </c>
      <c r="F22" s="233"/>
      <c r="R22" s="140" t="b">
        <v>0</v>
      </c>
      <c r="S22" s="141" t="s">
        <v>75</v>
      </c>
      <c r="T22" s="140" t="b">
        <f>IF(Blanco=TRUE,FALSE,IF(Clasicos=TRUE,#N/A,FALSE))</f>
        <v>0</v>
      </c>
    </row>
    <row r="23" spans="1:20" x14ac:dyDescent="0.2">
      <c r="B23" s="150"/>
      <c r="C23" s="237" t="s">
        <v>887</v>
      </c>
      <c r="D23" s="91">
        <f>IF(' Boletín de Inscripción '!C72="",0,1)</f>
        <v>0</v>
      </c>
      <c r="E23" s="152" t="s">
        <v>94</v>
      </c>
      <c r="G23" s="143"/>
      <c r="R23" s="140" t="b">
        <v>0</v>
      </c>
      <c r="S23" s="141" t="s">
        <v>87</v>
      </c>
      <c r="T23" s="140"/>
    </row>
    <row r="24" spans="1:20" x14ac:dyDescent="0.2">
      <c r="B24" s="150"/>
      <c r="C24" s="237" t="str">
        <f>IF(AND(OR(Campeonato=4,Campeonato=5),OR(Seleccion=2,Seleccion=3,Seleccion=4,Seleccion=5,Seleccion=6,Seleccion=7,Seleccion=8,Seleccion=9)),#REF!,"---")</f>
        <v>---</v>
      </c>
      <c r="D24" s="91">
        <f>IF(' Boletín de Inscripción '!C75="",0,1)</f>
        <v>0</v>
      </c>
      <c r="E24" s="152" t="s">
        <v>93</v>
      </c>
      <c r="R24" s="229" t="b">
        <v>0</v>
      </c>
      <c r="S24" s="230" t="s">
        <v>109</v>
      </c>
      <c r="T24" s="140"/>
    </row>
    <row r="25" spans="1:20" ht="14.25" x14ac:dyDescent="0.2">
      <c r="B25" s="135"/>
      <c r="C25" s="2"/>
      <c r="D25" s="91">
        <f>IF(AñoHomologacion="",0,1)</f>
        <v>0</v>
      </c>
      <c r="E25" s="152" t="s">
        <v>156</v>
      </c>
      <c r="R25" s="229">
        <v>1</v>
      </c>
      <c r="S25" s="230" t="s">
        <v>76</v>
      </c>
      <c r="T25" s="140"/>
    </row>
    <row r="26" spans="1:20" ht="14.25" x14ac:dyDescent="0.2">
      <c r="B26" s="135"/>
      <c r="C26" s="2"/>
      <c r="D26" s="91">
        <f>IF(AñoBoletin="",0,1)</f>
        <v>0</v>
      </c>
      <c r="E26" s="152" t="s">
        <v>157</v>
      </c>
      <c r="R26" s="229">
        <v>1</v>
      </c>
      <c r="S26" s="230" t="s">
        <v>110</v>
      </c>
      <c r="T26" s="140"/>
    </row>
    <row r="27" spans="1:20" ht="14.25" x14ac:dyDescent="0.2">
      <c r="B27" s="135"/>
      <c r="C27" s="237" t="s">
        <v>155</v>
      </c>
      <c r="D27" s="91">
        <f>IF(Campeonato&gt;1,1,IF(' Boletín de Inscripción '!C78="",0,1))</f>
        <v>1</v>
      </c>
      <c r="E27" s="152" t="s">
        <v>95</v>
      </c>
      <c r="R27" s="229">
        <f>IF(AND(Turbo=1,AñoBoletin&gt;1985),0,1)</f>
        <v>1</v>
      </c>
      <c r="S27" s="230" t="s">
        <v>839</v>
      </c>
      <c r="T27" s="140"/>
    </row>
    <row r="28" spans="1:20" ht="14.25" x14ac:dyDescent="0.2">
      <c r="B28" s="135"/>
      <c r="C28" s="239" t="b">
        <f>IF(Campeonato=3,TRUE,FALSE)</f>
        <v>0</v>
      </c>
      <c r="D28" s="1">
        <f>IF(PASAPORTE=FALSE,1,IF(' Boletín de Inscripción '!G78="",0,1))</f>
        <v>0</v>
      </c>
      <c r="E28" s="152" t="s">
        <v>153</v>
      </c>
      <c r="R28" s="140"/>
      <c r="S28" s="141"/>
      <c r="T28" s="140"/>
    </row>
    <row r="29" spans="1:20" ht="14.25" x14ac:dyDescent="0.2">
      <c r="B29" s="135"/>
      <c r="D29" s="1">
        <f>IF(C16="",0,1)</f>
        <v>0</v>
      </c>
      <c r="E29" s="152" t="s">
        <v>158</v>
      </c>
      <c r="R29" s="140"/>
      <c r="S29" s="141"/>
      <c r="T29" s="140"/>
    </row>
    <row r="30" spans="1:20" ht="14.25" x14ac:dyDescent="0.2">
      <c r="B30" s="135"/>
      <c r="D30" s="1" t="e">
        <f>IF(Categoria=" ",0,IF(EsError=FALSE,1,0))</f>
        <v>#REF!</v>
      </c>
      <c r="E30" s="152" t="s">
        <v>152</v>
      </c>
      <c r="R30" s="140"/>
      <c r="S30" s="141"/>
      <c r="T30" s="140"/>
    </row>
    <row r="32" spans="1:20" x14ac:dyDescent="0.2">
      <c r="A32" s="606" t="s">
        <v>880</v>
      </c>
      <c r="B32" s="606"/>
      <c r="C32" s="606"/>
    </row>
    <row r="33" spans="1:4" ht="12.95" customHeight="1" x14ac:dyDescent="0.2">
      <c r="A33" s="154">
        <v>0</v>
      </c>
      <c r="B33" s="154" t="s">
        <v>898</v>
      </c>
      <c r="C33" s="7" t="s">
        <v>879</v>
      </c>
    </row>
    <row r="34" spans="1:4" ht="12.95" customHeight="1" x14ac:dyDescent="0.2">
      <c r="A34" s="154">
        <v>1</v>
      </c>
      <c r="B34" s="154" t="s">
        <v>899</v>
      </c>
      <c r="C34" s="7" t="s">
        <v>877</v>
      </c>
    </row>
    <row r="35" spans="1:4" ht="12.95" customHeight="1" x14ac:dyDescent="0.2">
      <c r="A35" s="154">
        <v>2</v>
      </c>
      <c r="B35" s="154" t="s">
        <v>900</v>
      </c>
      <c r="C35" s="7" t="s">
        <v>878</v>
      </c>
    </row>
    <row r="36" spans="1:4" ht="12.95" customHeight="1" x14ac:dyDescent="0.2">
      <c r="A36" s="154">
        <v>3</v>
      </c>
      <c r="B36" s="154" t="s">
        <v>901</v>
      </c>
      <c r="C36" s="7" t="s">
        <v>133</v>
      </c>
    </row>
    <row r="37" spans="1:4" ht="12.95" customHeight="1" x14ac:dyDescent="0.2">
      <c r="A37" s="154">
        <v>4</v>
      </c>
      <c r="B37" s="154" t="s">
        <v>897</v>
      </c>
      <c r="C37" s="7" t="s">
        <v>133</v>
      </c>
    </row>
    <row r="38" spans="1:4" ht="12.95" customHeight="1" x14ac:dyDescent="0.2">
      <c r="A38" s="154">
        <v>5</v>
      </c>
      <c r="B38" s="154" t="s">
        <v>133</v>
      </c>
      <c r="C38" s="7" t="s">
        <v>133</v>
      </c>
    </row>
    <row r="39" spans="1:4" ht="12.95" customHeight="1" x14ac:dyDescent="0.2">
      <c r="A39" s="154">
        <v>6</v>
      </c>
      <c r="B39" s="154" t="s">
        <v>133</v>
      </c>
      <c r="C39" s="7" t="s">
        <v>133</v>
      </c>
    </row>
    <row r="40" spans="1:4" ht="12.95" customHeight="1" x14ac:dyDescent="0.2">
      <c r="A40" s="154">
        <v>7</v>
      </c>
      <c r="B40" s="154" t="s">
        <v>133</v>
      </c>
      <c r="C40" s="7" t="s">
        <v>133</v>
      </c>
    </row>
    <row r="41" spans="1:4" ht="12.95" customHeight="1" x14ac:dyDescent="0.2">
      <c r="A41" s="155">
        <v>8</v>
      </c>
      <c r="B41" s="155" t="s">
        <v>133</v>
      </c>
      <c r="C41" s="9" t="s">
        <v>133</v>
      </c>
    </row>
    <row r="42" spans="1:4" ht="12.95" customHeight="1" x14ac:dyDescent="0.2">
      <c r="A42" s="252"/>
      <c r="B42" s="252"/>
      <c r="C42" s="252"/>
      <c r="D42" s="253"/>
    </row>
    <row r="43" spans="1:4" ht="12.95" customHeight="1" x14ac:dyDescent="0.2">
      <c r="A43" s="606" t="s">
        <v>881</v>
      </c>
      <c r="B43" s="606"/>
      <c r="C43" s="606"/>
    </row>
    <row r="44" spans="1:4" ht="12.95" customHeight="1" x14ac:dyDescent="0.2">
      <c r="A44" s="154">
        <v>0</v>
      </c>
      <c r="B44" s="154" t="s">
        <v>882</v>
      </c>
      <c r="C44" s="228" t="s">
        <v>882</v>
      </c>
    </row>
    <row r="45" spans="1:4" ht="12.95" customHeight="1" x14ac:dyDescent="0.2">
      <c r="A45" s="154">
        <v>1</v>
      </c>
      <c r="B45" s="154" t="s">
        <v>883</v>
      </c>
      <c r="C45" s="7" t="s">
        <v>884</v>
      </c>
    </row>
    <row r="46" spans="1:4" ht="12.95" customHeight="1" x14ac:dyDescent="0.2">
      <c r="A46" s="154">
        <v>2</v>
      </c>
      <c r="B46" s="154" t="s">
        <v>884</v>
      </c>
      <c r="C46" s="7" t="s">
        <v>883</v>
      </c>
    </row>
    <row r="47" spans="1:4" ht="12.95" customHeight="1" x14ac:dyDescent="0.2">
      <c r="A47" s="154">
        <v>3</v>
      </c>
      <c r="B47" s="154" t="s">
        <v>133</v>
      </c>
      <c r="C47" s="7" t="s">
        <v>133</v>
      </c>
    </row>
    <row r="48" spans="1:4" ht="12.95" customHeight="1" x14ac:dyDescent="0.2">
      <c r="A48" s="154">
        <v>4</v>
      </c>
      <c r="B48" s="154" t="s">
        <v>133</v>
      </c>
      <c r="C48" s="7" t="s">
        <v>133</v>
      </c>
    </row>
    <row r="49" spans="1:6" ht="12.95" customHeight="1" x14ac:dyDescent="0.2">
      <c r="A49" s="154">
        <v>5</v>
      </c>
      <c r="B49" s="154" t="s">
        <v>133</v>
      </c>
      <c r="C49" s="7" t="s">
        <v>133</v>
      </c>
    </row>
    <row r="50" spans="1:6" ht="12.95" customHeight="1" x14ac:dyDescent="0.2">
      <c r="A50" s="154">
        <v>6</v>
      </c>
      <c r="B50" s="154" t="s">
        <v>133</v>
      </c>
      <c r="C50" s="7" t="s">
        <v>133</v>
      </c>
    </row>
    <row r="51" spans="1:6" ht="12.95" customHeight="1" x14ac:dyDescent="0.2">
      <c r="A51" s="154">
        <v>7</v>
      </c>
      <c r="B51" s="154" t="s">
        <v>133</v>
      </c>
      <c r="C51" s="7" t="s">
        <v>133</v>
      </c>
    </row>
    <row r="52" spans="1:6" ht="12.95" customHeight="1" x14ac:dyDescent="0.2">
      <c r="A52" s="252">
        <v>8</v>
      </c>
      <c r="B52" s="155" t="s">
        <v>133</v>
      </c>
      <c r="C52" s="9" t="s">
        <v>133</v>
      </c>
    </row>
    <row r="53" spans="1:6" ht="12.95" customHeight="1" x14ac:dyDescent="0.2">
      <c r="A53" s="226"/>
      <c r="B53" s="90"/>
      <c r="C53" s="90"/>
    </row>
    <row r="54" spans="1:6" x14ac:dyDescent="0.2">
      <c r="A54" s="603" t="s">
        <v>861</v>
      </c>
      <c r="B54" s="604"/>
      <c r="C54" s="605"/>
    </row>
    <row r="55" spans="1:6" ht="12.95" customHeight="1" x14ac:dyDescent="0.2">
      <c r="A55" s="154">
        <v>0</v>
      </c>
      <c r="B55" s="154" t="s">
        <v>830</v>
      </c>
      <c r="C55" s="7" t="s">
        <v>830</v>
      </c>
    </row>
    <row r="56" spans="1:6" ht="12.95" customHeight="1" x14ac:dyDescent="0.2">
      <c r="A56" s="154">
        <v>1</v>
      </c>
      <c r="B56" s="154" t="s">
        <v>133</v>
      </c>
      <c r="C56" s="7" t="s">
        <v>133</v>
      </c>
      <c r="F56" s="2"/>
    </row>
    <row r="57" spans="1:6" ht="12.95" customHeight="1" x14ac:dyDescent="0.2">
      <c r="A57" s="154">
        <v>2</v>
      </c>
      <c r="B57" s="154" t="s">
        <v>133</v>
      </c>
      <c r="C57" s="7" t="s">
        <v>133</v>
      </c>
      <c r="F57" s="2"/>
    </row>
    <row r="58" spans="1:6" ht="12.95" customHeight="1" x14ac:dyDescent="0.2">
      <c r="A58" s="154">
        <v>3</v>
      </c>
      <c r="B58" s="154" t="s">
        <v>133</v>
      </c>
      <c r="C58" s="7" t="s">
        <v>133</v>
      </c>
      <c r="F58" s="2"/>
    </row>
    <row r="59" spans="1:6" ht="12.95" customHeight="1" x14ac:dyDescent="0.2">
      <c r="A59" s="154">
        <v>4</v>
      </c>
      <c r="B59" s="154" t="s">
        <v>133</v>
      </c>
      <c r="C59" s="7" t="s">
        <v>133</v>
      </c>
      <c r="F59" s="2"/>
    </row>
    <row r="60" spans="1:6" ht="12.95" customHeight="1" x14ac:dyDescent="0.2">
      <c r="A60" s="154">
        <v>5</v>
      </c>
      <c r="B60" s="154" t="s">
        <v>133</v>
      </c>
      <c r="C60" s="7" t="s">
        <v>133</v>
      </c>
      <c r="F60" s="2"/>
    </row>
    <row r="61" spans="1:6" ht="12.95" customHeight="1" x14ac:dyDescent="0.2">
      <c r="A61" s="154">
        <v>6</v>
      </c>
      <c r="B61" s="154" t="s">
        <v>133</v>
      </c>
      <c r="C61" s="7" t="s">
        <v>133</v>
      </c>
      <c r="F61" s="2"/>
    </row>
    <row r="62" spans="1:6" ht="12.95" customHeight="1" x14ac:dyDescent="0.2">
      <c r="A62" s="154">
        <v>7</v>
      </c>
      <c r="B62" s="154" t="s">
        <v>133</v>
      </c>
      <c r="C62" s="7" t="s">
        <v>133</v>
      </c>
      <c r="F62" s="2"/>
    </row>
    <row r="63" spans="1:6" ht="12.95" customHeight="1" x14ac:dyDescent="0.2">
      <c r="A63" s="155">
        <v>8</v>
      </c>
      <c r="B63" s="155" t="s">
        <v>133</v>
      </c>
      <c r="C63" s="9" t="s">
        <v>133</v>
      </c>
      <c r="F63" s="2"/>
    </row>
    <row r="64" spans="1:6" ht="12.95" customHeight="1" x14ac:dyDescent="0.2">
      <c r="F64" s="2"/>
    </row>
    <row r="65" spans="1:20" x14ac:dyDescent="0.2">
      <c r="A65" s="603" t="s">
        <v>906</v>
      </c>
      <c r="B65" s="604"/>
      <c r="C65" s="605"/>
      <c r="F65" s="2"/>
    </row>
    <row r="66" spans="1:20" ht="12.95" customHeight="1" x14ac:dyDescent="0.2">
      <c r="A66" s="227">
        <v>0</v>
      </c>
      <c r="B66" s="227" t="s">
        <v>908</v>
      </c>
      <c r="C66" s="228" t="s">
        <v>126</v>
      </c>
      <c r="F66" s="2"/>
      <c r="R66" s="140"/>
      <c r="S66" s="141"/>
      <c r="T66" s="140"/>
    </row>
    <row r="67" spans="1:20" ht="12.95" customHeight="1" x14ac:dyDescent="0.2">
      <c r="A67" s="154">
        <v>1</v>
      </c>
      <c r="B67" s="154" t="s">
        <v>133</v>
      </c>
      <c r="C67" s="7" t="s">
        <v>127</v>
      </c>
      <c r="F67" s="2"/>
      <c r="R67" s="140"/>
      <c r="S67" s="141"/>
      <c r="T67" s="140"/>
    </row>
    <row r="68" spans="1:20" ht="12.95" customHeight="1" x14ac:dyDescent="0.2">
      <c r="A68" s="154">
        <v>2</v>
      </c>
      <c r="B68" s="154" t="s">
        <v>133</v>
      </c>
      <c r="C68" s="7" t="s">
        <v>128</v>
      </c>
      <c r="F68" s="2"/>
    </row>
    <row r="69" spans="1:20" ht="12.95" customHeight="1" x14ac:dyDescent="0.2">
      <c r="A69" s="154">
        <v>3</v>
      </c>
      <c r="B69" s="154" t="s">
        <v>133</v>
      </c>
      <c r="C69" s="7" t="s">
        <v>129</v>
      </c>
      <c r="F69" s="2"/>
    </row>
    <row r="70" spans="1:20" ht="12.95" customHeight="1" x14ac:dyDescent="0.2">
      <c r="A70" s="154">
        <v>4</v>
      </c>
      <c r="B70" s="154" t="s">
        <v>133</v>
      </c>
      <c r="C70" s="7" t="s">
        <v>130</v>
      </c>
      <c r="F70" s="2"/>
    </row>
    <row r="71" spans="1:20" ht="12.95" customHeight="1" x14ac:dyDescent="0.2">
      <c r="A71" s="154">
        <v>5</v>
      </c>
      <c r="B71" s="154" t="s">
        <v>133</v>
      </c>
      <c r="C71" s="7" t="s">
        <v>133</v>
      </c>
      <c r="F71" s="2"/>
    </row>
    <row r="72" spans="1:20" ht="12.95" customHeight="1" x14ac:dyDescent="0.2">
      <c r="A72" s="154">
        <v>6</v>
      </c>
      <c r="B72" s="154" t="s">
        <v>133</v>
      </c>
      <c r="C72" s="7" t="s">
        <v>133</v>
      </c>
      <c r="F72" s="2"/>
    </row>
    <row r="73" spans="1:20" ht="12.95" customHeight="1" x14ac:dyDescent="0.2">
      <c r="A73" s="154">
        <v>7</v>
      </c>
      <c r="B73" s="154" t="s">
        <v>133</v>
      </c>
      <c r="C73" s="7" t="s">
        <v>133</v>
      </c>
      <c r="F73" s="2"/>
    </row>
    <row r="74" spans="1:20" ht="12.95" customHeight="1" x14ac:dyDescent="0.2">
      <c r="A74" s="155">
        <v>8</v>
      </c>
      <c r="B74" s="155" t="s">
        <v>133</v>
      </c>
      <c r="C74" s="9" t="s">
        <v>133</v>
      </c>
      <c r="F74" s="2"/>
    </row>
    <row r="75" spans="1:20" ht="12.95" customHeight="1" x14ac:dyDescent="0.2">
      <c r="A75" s="254"/>
      <c r="B75" s="90"/>
      <c r="C75" s="90"/>
      <c r="D75" s="253"/>
      <c r="F75" s="2"/>
    </row>
    <row r="76" spans="1:20" ht="12.95" customHeight="1" x14ac:dyDescent="0.2">
      <c r="A76" s="603" t="s">
        <v>905</v>
      </c>
      <c r="B76" s="604"/>
      <c r="C76" s="605"/>
      <c r="F76" s="2"/>
    </row>
    <row r="77" spans="1:20" ht="12.95" customHeight="1" x14ac:dyDescent="0.2">
      <c r="A77" s="154">
        <v>0</v>
      </c>
      <c r="B77" s="154" t="s">
        <v>898</v>
      </c>
      <c r="C77" s="7" t="s">
        <v>132</v>
      </c>
      <c r="F77" s="2"/>
    </row>
    <row r="78" spans="1:20" ht="12.95" customHeight="1" x14ac:dyDescent="0.2">
      <c r="A78" s="154">
        <v>1</v>
      </c>
      <c r="B78" s="154" t="s">
        <v>899</v>
      </c>
      <c r="C78" s="7" t="s">
        <v>131</v>
      </c>
      <c r="F78" s="2"/>
    </row>
    <row r="79" spans="1:20" ht="12.95" customHeight="1" x14ac:dyDescent="0.2">
      <c r="A79" s="154">
        <v>2</v>
      </c>
      <c r="B79" s="154" t="s">
        <v>900</v>
      </c>
      <c r="C79" s="7" t="s">
        <v>885</v>
      </c>
    </row>
    <row r="80" spans="1:20" x14ac:dyDescent="0.2">
      <c r="A80" s="154">
        <v>3</v>
      </c>
      <c r="B80" s="154" t="s">
        <v>901</v>
      </c>
      <c r="C80" s="7" t="s">
        <v>133</v>
      </c>
      <c r="F80" s="234"/>
    </row>
    <row r="81" spans="1:6" x14ac:dyDescent="0.2">
      <c r="A81" s="154">
        <v>4</v>
      </c>
      <c r="B81" s="154" t="s">
        <v>882</v>
      </c>
      <c r="C81" s="7" t="s">
        <v>133</v>
      </c>
      <c r="F81" s="234"/>
    </row>
    <row r="82" spans="1:6" x14ac:dyDescent="0.2">
      <c r="A82" s="154">
        <v>5</v>
      </c>
      <c r="B82" s="154" t="s">
        <v>883</v>
      </c>
      <c r="C82" s="7" t="s">
        <v>133</v>
      </c>
      <c r="F82" s="234"/>
    </row>
    <row r="83" spans="1:6" x14ac:dyDescent="0.2">
      <c r="A83" s="154">
        <v>6</v>
      </c>
      <c r="B83" s="154" t="s">
        <v>884</v>
      </c>
      <c r="C83" s="7" t="s">
        <v>133</v>
      </c>
      <c r="F83" s="234"/>
    </row>
    <row r="84" spans="1:6" x14ac:dyDescent="0.2">
      <c r="A84" s="154">
        <v>7</v>
      </c>
      <c r="B84" s="154" t="s">
        <v>133</v>
      </c>
      <c r="C84" s="7" t="s">
        <v>133</v>
      </c>
      <c r="F84" s="234"/>
    </row>
    <row r="85" spans="1:6" x14ac:dyDescent="0.2">
      <c r="A85" s="155">
        <v>8</v>
      </c>
      <c r="B85" s="155" t="s">
        <v>133</v>
      </c>
      <c r="C85" s="9" t="s">
        <v>133</v>
      </c>
      <c r="F85" s="234"/>
    </row>
    <row r="86" spans="1:6" x14ac:dyDescent="0.2">
      <c r="A86" s="90"/>
      <c r="B86" s="90"/>
      <c r="C86" s="90"/>
      <c r="F86" s="234"/>
    </row>
    <row r="87" spans="1:6" x14ac:dyDescent="0.2">
      <c r="A87" s="603" t="s">
        <v>909</v>
      </c>
      <c r="B87" s="604"/>
      <c r="C87" s="605"/>
      <c r="F87" s="234"/>
    </row>
    <row r="88" spans="1:6" x14ac:dyDescent="0.2">
      <c r="A88" s="154">
        <v>0</v>
      </c>
      <c r="B88" s="154" t="s">
        <v>898</v>
      </c>
      <c r="C88" s="228" t="s">
        <v>126</v>
      </c>
      <c r="F88" s="234"/>
    </row>
    <row r="89" spans="1:6" x14ac:dyDescent="0.2">
      <c r="A89" s="154">
        <v>1</v>
      </c>
      <c r="B89" s="154" t="s">
        <v>899</v>
      </c>
      <c r="C89" s="7" t="s">
        <v>127</v>
      </c>
      <c r="F89" s="234"/>
    </row>
    <row r="90" spans="1:6" x14ac:dyDescent="0.2">
      <c r="A90" s="154">
        <v>2</v>
      </c>
      <c r="B90" s="154" t="s">
        <v>900</v>
      </c>
      <c r="C90" s="7" t="s">
        <v>128</v>
      </c>
      <c r="F90" s="234"/>
    </row>
    <row r="91" spans="1:6" x14ac:dyDescent="0.2">
      <c r="A91" s="154">
        <v>3</v>
      </c>
      <c r="B91" s="154" t="s">
        <v>901</v>
      </c>
      <c r="C91" s="7" t="s">
        <v>129</v>
      </c>
      <c r="F91" s="234"/>
    </row>
    <row r="92" spans="1:6" x14ac:dyDescent="0.2">
      <c r="A92" s="154">
        <v>4</v>
      </c>
      <c r="B92" s="154" t="s">
        <v>882</v>
      </c>
      <c r="C92" s="7" t="s">
        <v>130</v>
      </c>
      <c r="F92" s="234"/>
    </row>
    <row r="93" spans="1:6" x14ac:dyDescent="0.2">
      <c r="A93" s="154">
        <v>5</v>
      </c>
      <c r="B93" s="154" t="s">
        <v>883</v>
      </c>
      <c r="C93" s="7" t="s">
        <v>132</v>
      </c>
      <c r="F93" s="234"/>
    </row>
    <row r="94" spans="1:6" x14ac:dyDescent="0.2">
      <c r="A94" s="154">
        <v>6</v>
      </c>
      <c r="B94" s="154" t="s">
        <v>884</v>
      </c>
      <c r="C94" s="7" t="s">
        <v>131</v>
      </c>
      <c r="F94" s="234"/>
    </row>
    <row r="95" spans="1:6" x14ac:dyDescent="0.2">
      <c r="A95" s="154">
        <v>7</v>
      </c>
      <c r="B95" s="154" t="s">
        <v>133</v>
      </c>
      <c r="C95" s="7" t="s">
        <v>885</v>
      </c>
      <c r="F95" s="234"/>
    </row>
    <row r="96" spans="1:6" x14ac:dyDescent="0.2">
      <c r="A96" s="155">
        <v>8</v>
      </c>
      <c r="B96" s="155" t="s">
        <v>133</v>
      </c>
      <c r="C96" s="9" t="s">
        <v>133</v>
      </c>
      <c r="F96" s="234"/>
    </row>
    <row r="97" spans="1:20" x14ac:dyDescent="0.2">
      <c r="A97" s="90"/>
      <c r="B97" s="90"/>
      <c r="C97" s="90"/>
      <c r="F97" s="234"/>
    </row>
    <row r="98" spans="1:20" x14ac:dyDescent="0.2">
      <c r="A98" s="90"/>
      <c r="B98" s="90"/>
      <c r="C98" s="90"/>
      <c r="F98" s="234"/>
    </row>
    <row r="99" spans="1:20" ht="12.95" customHeight="1" x14ac:dyDescent="0.2">
      <c r="F99" s="235"/>
      <c r="R99" s="140"/>
      <c r="S99" s="141"/>
      <c r="T99" s="140"/>
    </row>
    <row r="100" spans="1:20" x14ac:dyDescent="0.2">
      <c r="A100" s="226"/>
      <c r="B100" s="232"/>
      <c r="C100" s="231"/>
      <c r="D100" s="231"/>
      <c r="F100" s="235"/>
    </row>
    <row r="101" spans="1:20" x14ac:dyDescent="0.2">
      <c r="A101" s="226"/>
      <c r="B101" s="232"/>
      <c r="C101" s="231"/>
      <c r="D101" s="231"/>
      <c r="F101" s="234"/>
    </row>
    <row r="102" spans="1:20" x14ac:dyDescent="0.2">
      <c r="A102" s="226"/>
      <c r="B102" s="232"/>
      <c r="C102" s="231"/>
      <c r="D102" s="231"/>
      <c r="F102" s="235"/>
    </row>
    <row r="103" spans="1:20" x14ac:dyDescent="0.2">
      <c r="A103" s="226"/>
      <c r="B103" s="232"/>
      <c r="C103" s="231"/>
      <c r="D103" s="231"/>
      <c r="F103" s="2"/>
    </row>
    <row r="104" spans="1:20" x14ac:dyDescent="0.2">
      <c r="A104" s="226"/>
      <c r="B104" s="232"/>
      <c r="C104" s="231"/>
      <c r="D104" s="231"/>
      <c r="F104" s="2"/>
    </row>
    <row r="105" spans="1:20" x14ac:dyDescent="0.2">
      <c r="A105" s="226"/>
      <c r="B105" s="232"/>
      <c r="C105" s="231"/>
      <c r="D105" s="231"/>
      <c r="F105" s="2"/>
    </row>
    <row r="106" spans="1:20" ht="12.95" customHeight="1" x14ac:dyDescent="0.2">
      <c r="F106" s="2"/>
      <c r="J106" s="2">
        <f>LEN(J110)</f>
        <v>1</v>
      </c>
    </row>
    <row r="107" spans="1:20" ht="12.95" customHeight="1" x14ac:dyDescent="0.2">
      <c r="B107" s="1">
        <f>LEN(Inicio)</f>
        <v>0</v>
      </c>
      <c r="C107" s="1" t="s">
        <v>159</v>
      </c>
      <c r="D107" s="162">
        <f>IF($B$114&gt;0,1,B107)</f>
        <v>0</v>
      </c>
      <c r="F107" s="2"/>
    </row>
    <row r="108" spans="1:20" ht="12.95" customHeight="1" x14ac:dyDescent="0.2">
      <c r="B108" s="1">
        <f>LEN(' Boletín de Inscripción '!L39)</f>
        <v>0</v>
      </c>
      <c r="C108" s="1" t="s">
        <v>160</v>
      </c>
      <c r="D108" s="162">
        <f>IF($B$114&gt;0,1,B108)</f>
        <v>0</v>
      </c>
      <c r="H108" s="2">
        <f>LEN(H110)</f>
        <v>1</v>
      </c>
      <c r="K108" s="2">
        <f>LEN(K110)</f>
        <v>1</v>
      </c>
    </row>
    <row r="109" spans="1:20" ht="12.95" customHeight="1" x14ac:dyDescent="0.2">
      <c r="B109" s="1">
        <f>LEN(' Boletín de Inscripción '!V39)</f>
        <v>0</v>
      </c>
      <c r="C109" s="1" t="s">
        <v>167</v>
      </c>
      <c r="D109" s="162">
        <f>IF($B$114&gt;0,1,B109)</f>
        <v>0</v>
      </c>
      <c r="F109" s="609" t="s">
        <v>622</v>
      </c>
      <c r="G109" s="610"/>
      <c r="H109" s="611"/>
      <c r="I109" s="609" t="s">
        <v>623</v>
      </c>
      <c r="J109" s="610"/>
      <c r="K109" s="611"/>
      <c r="L109" s="609" t="s">
        <v>624</v>
      </c>
      <c r="M109" s="610"/>
      <c r="N109" s="611"/>
    </row>
    <row r="110" spans="1:20" ht="12.95" customHeight="1" x14ac:dyDescent="0.2">
      <c r="B110" s="1">
        <f>LEN(Concursante_NIF)</f>
        <v>0</v>
      </c>
      <c r="C110" s="1" t="s">
        <v>181</v>
      </c>
      <c r="D110" s="162">
        <f>B110</f>
        <v>0</v>
      </c>
      <c r="E110" s="1"/>
      <c r="F110" s="193">
        <v>1</v>
      </c>
      <c r="G110" s="194" t="str">
        <f t="shared" ref="G110:H129" si="1">IF(Indice_Pais_Concursante=62,F323,"  ")</f>
        <v xml:space="preserve"> </v>
      </c>
      <c r="H110" s="202" t="str">
        <f t="shared" si="1"/>
        <v xml:space="preserve"> </v>
      </c>
      <c r="I110" s="193">
        <v>1</v>
      </c>
      <c r="J110" s="194" t="str">
        <f t="shared" ref="J110:J129" si="2">IF(Indice_Pais_Piloto=62,F323,"  ")</f>
        <v xml:space="preserve"> </v>
      </c>
      <c r="K110" s="202" t="str">
        <f t="shared" ref="K110:K129" si="3">IF(Indice_Pais_Piloto=62,G323,"  ")</f>
        <v xml:space="preserve"> </v>
      </c>
      <c r="L110" s="193">
        <v>1</v>
      </c>
      <c r="M110" s="194" t="str">
        <f t="shared" ref="M110:M129" si="4">IF(Indice_Pais_Copiloto=62,F323,"  ")</f>
        <v xml:space="preserve"> </v>
      </c>
      <c r="N110" s="202" t="str">
        <f t="shared" ref="N110:N129" si="5">IF(Indice_Pais_Copiloto=62,G323,"  ")</f>
        <v xml:space="preserve"> </v>
      </c>
    </row>
    <row r="111" spans="1:20" ht="12.95" customHeight="1" x14ac:dyDescent="0.2">
      <c r="B111" s="1">
        <f>LEN(Concursante_Licencia)</f>
        <v>0</v>
      </c>
      <c r="C111" s="1" t="s">
        <v>161</v>
      </c>
      <c r="D111" s="162">
        <f>B111</f>
        <v>0</v>
      </c>
      <c r="E111" s="1"/>
      <c r="F111" s="195">
        <v>2</v>
      </c>
      <c r="G111" s="196" t="str">
        <f t="shared" si="1"/>
        <v>AN</v>
      </c>
      <c r="H111" s="197" t="str">
        <f t="shared" si="1"/>
        <v>Andalucía</v>
      </c>
      <c r="I111" s="195">
        <v>2</v>
      </c>
      <c r="J111" s="196" t="str">
        <f t="shared" si="2"/>
        <v>AN</v>
      </c>
      <c r="K111" s="197" t="str">
        <f t="shared" si="3"/>
        <v>Andalucía</v>
      </c>
      <c r="L111" s="195">
        <v>2</v>
      </c>
      <c r="M111" s="196" t="str">
        <f t="shared" si="4"/>
        <v>AN</v>
      </c>
      <c r="N111" s="197" t="str">
        <f t="shared" si="5"/>
        <v>Andalucía</v>
      </c>
    </row>
    <row r="112" spans="1:20" ht="12.95" customHeight="1" x14ac:dyDescent="0.2">
      <c r="B112" s="1">
        <f>LEN(' Boletín de Inscripción '!D48)</f>
        <v>0</v>
      </c>
      <c r="C112" s="1" t="s">
        <v>184</v>
      </c>
      <c r="D112" s="162">
        <f>IF(B113&gt;0,1,B112)</f>
        <v>0</v>
      </c>
      <c r="E112" s="1"/>
      <c r="F112" s="195">
        <v>3</v>
      </c>
      <c r="G112" s="196" t="str">
        <f t="shared" si="1"/>
        <v>AR</v>
      </c>
      <c r="H112" s="197" t="str">
        <f t="shared" si="1"/>
        <v>Aragón</v>
      </c>
      <c r="I112" s="195">
        <v>3</v>
      </c>
      <c r="J112" s="196" t="str">
        <f t="shared" si="2"/>
        <v>AR</v>
      </c>
      <c r="K112" s="197" t="str">
        <f t="shared" si="3"/>
        <v>Aragón</v>
      </c>
      <c r="L112" s="195">
        <v>3</v>
      </c>
      <c r="M112" s="196" t="str">
        <f t="shared" si="4"/>
        <v>AR</v>
      </c>
      <c r="N112" s="197" t="str">
        <f t="shared" si="5"/>
        <v>Aragón</v>
      </c>
    </row>
    <row r="113" spans="2:14" ht="12.95" customHeight="1" x14ac:dyDescent="0.2">
      <c r="B113" s="1">
        <f>LEN(' Boletín de Inscripción '!I48)</f>
        <v>0</v>
      </c>
      <c r="C113" s="1" t="s">
        <v>187</v>
      </c>
      <c r="D113" s="162">
        <f>IF(B112&gt;0,1,B113)</f>
        <v>0</v>
      </c>
      <c r="E113" s="1"/>
      <c r="F113" s="195">
        <v>4</v>
      </c>
      <c r="G113" s="196" t="str">
        <f t="shared" si="1"/>
        <v>AS</v>
      </c>
      <c r="H113" s="197" t="str">
        <f t="shared" si="1"/>
        <v>Asturias</v>
      </c>
      <c r="I113" s="195">
        <v>4</v>
      </c>
      <c r="J113" s="196" t="str">
        <f t="shared" si="2"/>
        <v>AS</v>
      </c>
      <c r="K113" s="197" t="str">
        <f t="shared" si="3"/>
        <v>Asturias</v>
      </c>
      <c r="L113" s="195">
        <v>4</v>
      </c>
      <c r="M113" s="196" t="str">
        <f t="shared" si="4"/>
        <v>AS</v>
      </c>
      <c r="N113" s="197" t="str">
        <f t="shared" si="5"/>
        <v>Asturias</v>
      </c>
    </row>
    <row r="114" spans="2:14" ht="12.95" customHeight="1" x14ac:dyDescent="0.2">
      <c r="B114" s="1">
        <f>LEN(' Boletín de Inscripción '!D42)</f>
        <v>0</v>
      </c>
      <c r="C114" s="1" t="s">
        <v>162</v>
      </c>
      <c r="D114" s="162">
        <f>IF($B$107&gt;0,1,B114)</f>
        <v>0</v>
      </c>
      <c r="E114" s="1">
        <f>LEN(H110)</f>
        <v>1</v>
      </c>
      <c r="F114" s="195">
        <v>5</v>
      </c>
      <c r="G114" s="196" t="str">
        <f t="shared" si="1"/>
        <v>IB</v>
      </c>
      <c r="H114" s="197" t="str">
        <f t="shared" si="1"/>
        <v>Baleares</v>
      </c>
      <c r="I114" s="195">
        <v>5</v>
      </c>
      <c r="J114" s="196" t="str">
        <f t="shared" si="2"/>
        <v>IB</v>
      </c>
      <c r="K114" s="197" t="str">
        <f t="shared" si="3"/>
        <v>Baleares</v>
      </c>
      <c r="L114" s="195">
        <v>5</v>
      </c>
      <c r="M114" s="196" t="str">
        <f t="shared" si="4"/>
        <v>IB</v>
      </c>
      <c r="N114" s="197" t="str">
        <f t="shared" si="5"/>
        <v>Baleares</v>
      </c>
    </row>
    <row r="115" spans="2:14" ht="12.95" customHeight="1" x14ac:dyDescent="0.2">
      <c r="B115" s="1">
        <f>LEN(' Boletín de Inscripción '!Q42)</f>
        <v>0</v>
      </c>
      <c r="C115" s="1" t="s">
        <v>163</v>
      </c>
      <c r="D115" s="162">
        <f>IF($B$107&gt;0,1,B115)</f>
        <v>0</v>
      </c>
      <c r="E115" s="1"/>
      <c r="F115" s="195">
        <v>6</v>
      </c>
      <c r="G115" s="196" t="str">
        <f t="shared" si="1"/>
        <v>CN</v>
      </c>
      <c r="H115" s="197" t="str">
        <f t="shared" si="1"/>
        <v>Canarias</v>
      </c>
      <c r="I115" s="195">
        <v>6</v>
      </c>
      <c r="J115" s="196" t="str">
        <f t="shared" si="2"/>
        <v>CN</v>
      </c>
      <c r="K115" s="197" t="str">
        <f t="shared" si="3"/>
        <v>Canarias</v>
      </c>
      <c r="L115" s="195">
        <v>6</v>
      </c>
      <c r="M115" s="196" t="str">
        <f t="shared" si="4"/>
        <v>CN</v>
      </c>
      <c r="N115" s="197" t="str">
        <f t="shared" si="5"/>
        <v>Canarias</v>
      </c>
    </row>
    <row r="116" spans="2:14" ht="12.95" customHeight="1" x14ac:dyDescent="0.2">
      <c r="B116" s="1">
        <f>LEN(' Boletín de Inscripción '!D50)</f>
        <v>0</v>
      </c>
      <c r="C116" s="1" t="s">
        <v>165</v>
      </c>
      <c r="D116" s="162">
        <f>B116</f>
        <v>0</v>
      </c>
      <c r="E116" s="1"/>
      <c r="F116" s="195">
        <v>7</v>
      </c>
      <c r="G116" s="196" t="str">
        <f t="shared" si="1"/>
        <v>CB</v>
      </c>
      <c r="H116" s="197" t="str">
        <f t="shared" si="1"/>
        <v>Cantabria</v>
      </c>
      <c r="I116" s="195">
        <v>7</v>
      </c>
      <c r="J116" s="196" t="str">
        <f t="shared" si="2"/>
        <v>CB</v>
      </c>
      <c r="K116" s="197" t="str">
        <f t="shared" si="3"/>
        <v>Cantabria</v>
      </c>
      <c r="L116" s="195">
        <v>7</v>
      </c>
      <c r="M116" s="196" t="str">
        <f t="shared" si="4"/>
        <v>CB</v>
      </c>
      <c r="N116" s="197" t="str">
        <f t="shared" si="5"/>
        <v>Cantabria</v>
      </c>
    </row>
    <row r="117" spans="2:14" ht="12.95" customHeight="1" x14ac:dyDescent="0.2">
      <c r="B117" s="1">
        <f>LEN(' Boletín de Inscripción '!L50)</f>
        <v>0</v>
      </c>
      <c r="C117" s="1" t="s">
        <v>164</v>
      </c>
      <c r="D117" s="162">
        <f>B117</f>
        <v>0</v>
      </c>
      <c r="E117" s="1"/>
      <c r="F117" s="195">
        <v>8</v>
      </c>
      <c r="G117" s="196" t="str">
        <f t="shared" si="1"/>
        <v>CM</v>
      </c>
      <c r="H117" s="197" t="str">
        <f t="shared" si="1"/>
        <v>Castilla-La Mancha</v>
      </c>
      <c r="I117" s="195">
        <v>8</v>
      </c>
      <c r="J117" s="196" t="str">
        <f t="shared" si="2"/>
        <v>CM</v>
      </c>
      <c r="K117" s="197" t="str">
        <f t="shared" si="3"/>
        <v>Castilla-La Mancha</v>
      </c>
      <c r="L117" s="195">
        <v>8</v>
      </c>
      <c r="M117" s="196" t="str">
        <f t="shared" si="4"/>
        <v>CM</v>
      </c>
      <c r="N117" s="197" t="str">
        <f t="shared" si="5"/>
        <v>Castilla-La Mancha</v>
      </c>
    </row>
    <row r="118" spans="2:14" ht="12.95" customHeight="1" x14ac:dyDescent="0.2">
      <c r="B118" s="1">
        <f>LEN(' Boletín de Inscripción '!V50)</f>
        <v>0</v>
      </c>
      <c r="C118" s="1" t="s">
        <v>166</v>
      </c>
      <c r="D118" s="162">
        <f>B118</f>
        <v>0</v>
      </c>
      <c r="E118" s="1"/>
      <c r="F118" s="195">
        <v>9</v>
      </c>
      <c r="G118" s="196" t="str">
        <f t="shared" si="1"/>
        <v>CL</v>
      </c>
      <c r="H118" s="197" t="str">
        <f t="shared" si="1"/>
        <v>Castilla-León</v>
      </c>
      <c r="I118" s="195">
        <v>9</v>
      </c>
      <c r="J118" s="196" t="str">
        <f t="shared" si="2"/>
        <v>CL</v>
      </c>
      <c r="K118" s="197" t="str">
        <f t="shared" si="3"/>
        <v>Castilla-León</v>
      </c>
      <c r="L118" s="195">
        <v>9</v>
      </c>
      <c r="M118" s="196" t="str">
        <f t="shared" si="4"/>
        <v>CL</v>
      </c>
      <c r="N118" s="197" t="str">
        <f t="shared" si="5"/>
        <v>Castilla-León</v>
      </c>
    </row>
    <row r="119" spans="2:14" ht="12.95" customHeight="1" x14ac:dyDescent="0.2">
      <c r="B119" s="1">
        <f>LEN(Piloto_NIF)</f>
        <v>0</v>
      </c>
      <c r="C119" s="1" t="s">
        <v>182</v>
      </c>
      <c r="D119" s="162">
        <f>B119</f>
        <v>0</v>
      </c>
      <c r="E119" s="1"/>
      <c r="F119" s="195">
        <v>10</v>
      </c>
      <c r="G119" s="196" t="str">
        <f t="shared" si="1"/>
        <v>CT</v>
      </c>
      <c r="H119" s="197" t="str">
        <f t="shared" si="1"/>
        <v>Cataluña</v>
      </c>
      <c r="I119" s="195">
        <v>10</v>
      </c>
      <c r="J119" s="196" t="str">
        <f t="shared" si="2"/>
        <v>CT</v>
      </c>
      <c r="K119" s="197" t="str">
        <f t="shared" si="3"/>
        <v>Cataluña</v>
      </c>
      <c r="L119" s="195">
        <v>10</v>
      </c>
      <c r="M119" s="196" t="str">
        <f t="shared" si="4"/>
        <v>CT</v>
      </c>
      <c r="N119" s="197" t="str">
        <f t="shared" si="5"/>
        <v>Cataluña</v>
      </c>
    </row>
    <row r="120" spans="2:14" ht="12.95" customHeight="1" x14ac:dyDescent="0.2">
      <c r="B120" s="1">
        <f>LEN(Piloto_Licencia)</f>
        <v>0</v>
      </c>
      <c r="C120" s="1" t="s">
        <v>168</v>
      </c>
      <c r="D120" s="162">
        <f>B120</f>
        <v>0</v>
      </c>
      <c r="E120" s="1"/>
      <c r="F120" s="195">
        <v>11</v>
      </c>
      <c r="G120" s="196" t="str">
        <f t="shared" si="1"/>
        <v>CE</v>
      </c>
      <c r="H120" s="197" t="str">
        <f t="shared" si="1"/>
        <v>Ceuta</v>
      </c>
      <c r="I120" s="195">
        <v>11</v>
      </c>
      <c r="J120" s="196" t="str">
        <f t="shared" si="2"/>
        <v>CE</v>
      </c>
      <c r="K120" s="197" t="str">
        <f t="shared" si="3"/>
        <v>Ceuta</v>
      </c>
      <c r="L120" s="195">
        <v>11</v>
      </c>
      <c r="M120" s="196" t="str">
        <f t="shared" si="4"/>
        <v>CE</v>
      </c>
      <c r="N120" s="197" t="str">
        <f t="shared" si="5"/>
        <v>Ceuta</v>
      </c>
    </row>
    <row r="121" spans="2:14" ht="12.95" customHeight="1" x14ac:dyDescent="0.2">
      <c r="B121" s="1">
        <f>LEN(' Boletín de Inscripción '!D56)</f>
        <v>0</v>
      </c>
      <c r="C121" s="1" t="s">
        <v>185</v>
      </c>
      <c r="D121" s="162">
        <f>IF(B122&gt;0,1,B121)</f>
        <v>0</v>
      </c>
      <c r="E121" s="1"/>
      <c r="F121" s="195">
        <v>12</v>
      </c>
      <c r="G121" s="196" t="str">
        <f t="shared" si="1"/>
        <v>EX</v>
      </c>
      <c r="H121" s="197" t="str">
        <f t="shared" si="1"/>
        <v>Extremadura</v>
      </c>
      <c r="I121" s="195">
        <v>12</v>
      </c>
      <c r="J121" s="196" t="str">
        <f t="shared" si="2"/>
        <v>EX</v>
      </c>
      <c r="K121" s="197" t="str">
        <f t="shared" si="3"/>
        <v>Extremadura</v>
      </c>
      <c r="L121" s="195">
        <v>12</v>
      </c>
      <c r="M121" s="196" t="str">
        <f t="shared" si="4"/>
        <v>EX</v>
      </c>
      <c r="N121" s="197" t="str">
        <f t="shared" si="5"/>
        <v>Extremadura</v>
      </c>
    </row>
    <row r="122" spans="2:14" ht="12.95" customHeight="1" x14ac:dyDescent="0.2">
      <c r="B122" s="1">
        <f>LEN(' Boletín de Inscripción '!I56)</f>
        <v>0</v>
      </c>
      <c r="C122" s="1" t="s">
        <v>188</v>
      </c>
      <c r="D122" s="162">
        <f>IF(B121&gt;0,1,B122)</f>
        <v>0</v>
      </c>
      <c r="E122" s="1"/>
      <c r="F122" s="195">
        <v>13</v>
      </c>
      <c r="G122" s="196" t="str">
        <f t="shared" si="1"/>
        <v>GA</v>
      </c>
      <c r="H122" s="197" t="str">
        <f t="shared" si="1"/>
        <v>Galicia</v>
      </c>
      <c r="I122" s="195">
        <v>13</v>
      </c>
      <c r="J122" s="196" t="str">
        <f t="shared" si="2"/>
        <v>GA</v>
      </c>
      <c r="K122" s="197" t="str">
        <f t="shared" si="3"/>
        <v>Galicia</v>
      </c>
      <c r="L122" s="195">
        <v>13</v>
      </c>
      <c r="M122" s="196" t="str">
        <f t="shared" si="4"/>
        <v>GA</v>
      </c>
      <c r="N122" s="197" t="str">
        <f t="shared" si="5"/>
        <v>Galicia</v>
      </c>
    </row>
    <row r="123" spans="2:14" ht="12.95" customHeight="1" x14ac:dyDescent="0.2">
      <c r="B123" s="1">
        <f>LEN(' Boletín de Inscripción '!D58)</f>
        <v>0</v>
      </c>
      <c r="C123" s="1" t="s">
        <v>169</v>
      </c>
      <c r="D123" s="162">
        <f>B123</f>
        <v>0</v>
      </c>
      <c r="E123" s="1"/>
      <c r="F123" s="195">
        <v>14</v>
      </c>
      <c r="G123" s="196" t="str">
        <f t="shared" si="1"/>
        <v>RI</v>
      </c>
      <c r="H123" s="197" t="str">
        <f t="shared" si="1"/>
        <v>La Rioja</v>
      </c>
      <c r="I123" s="195">
        <v>14</v>
      </c>
      <c r="J123" s="196" t="str">
        <f t="shared" si="2"/>
        <v>RI</v>
      </c>
      <c r="K123" s="197" t="str">
        <f t="shared" si="3"/>
        <v>La Rioja</v>
      </c>
      <c r="L123" s="195">
        <v>14</v>
      </c>
      <c r="M123" s="196" t="str">
        <f t="shared" si="4"/>
        <v>RI</v>
      </c>
      <c r="N123" s="197" t="str">
        <f t="shared" si="5"/>
        <v>La Rioja</v>
      </c>
    </row>
    <row r="124" spans="2:14" ht="12.95" customHeight="1" x14ac:dyDescent="0.2">
      <c r="B124" s="1">
        <f>LEN(' Boletín de Inscripción '!L58)</f>
        <v>0</v>
      </c>
      <c r="C124" s="1" t="s">
        <v>170</v>
      </c>
      <c r="D124" s="162">
        <f>B124</f>
        <v>0</v>
      </c>
      <c r="E124" s="1"/>
      <c r="F124" s="195">
        <v>15</v>
      </c>
      <c r="G124" s="196" t="str">
        <f t="shared" si="1"/>
        <v>MD</v>
      </c>
      <c r="H124" s="197" t="str">
        <f t="shared" si="1"/>
        <v>Madrid</v>
      </c>
      <c r="I124" s="195">
        <v>15</v>
      </c>
      <c r="J124" s="196" t="str">
        <f t="shared" si="2"/>
        <v>MD</v>
      </c>
      <c r="K124" s="197" t="str">
        <f t="shared" si="3"/>
        <v>Madrid</v>
      </c>
      <c r="L124" s="195">
        <v>15</v>
      </c>
      <c r="M124" s="196" t="str">
        <f t="shared" si="4"/>
        <v>MD</v>
      </c>
      <c r="N124" s="197" t="str">
        <f t="shared" si="5"/>
        <v>Madrid</v>
      </c>
    </row>
    <row r="125" spans="2:14" ht="12.95" customHeight="1" x14ac:dyDescent="0.2">
      <c r="B125" s="1">
        <f>LEN(' Boletín de Inscripción '!V58)</f>
        <v>0</v>
      </c>
      <c r="C125" s="1" t="s">
        <v>171</v>
      </c>
      <c r="D125" s="162">
        <f>B125</f>
        <v>0</v>
      </c>
      <c r="E125" s="1"/>
      <c r="F125" s="195">
        <v>16</v>
      </c>
      <c r="G125" s="196" t="str">
        <f t="shared" si="1"/>
        <v>ML</v>
      </c>
      <c r="H125" s="197" t="str">
        <f t="shared" si="1"/>
        <v>Melilla</v>
      </c>
      <c r="I125" s="195">
        <v>16</v>
      </c>
      <c r="J125" s="196" t="str">
        <f t="shared" si="2"/>
        <v>ML</v>
      </c>
      <c r="K125" s="197" t="str">
        <f t="shared" si="3"/>
        <v>Melilla</v>
      </c>
      <c r="L125" s="195">
        <v>16</v>
      </c>
      <c r="M125" s="196" t="str">
        <f t="shared" si="4"/>
        <v>ML</v>
      </c>
      <c r="N125" s="197" t="str">
        <f t="shared" si="5"/>
        <v>Melilla</v>
      </c>
    </row>
    <row r="126" spans="2:14" ht="12.95" customHeight="1" x14ac:dyDescent="0.2">
      <c r="B126" s="1">
        <f>LEN(Copiloto_NIF)</f>
        <v>0</v>
      </c>
      <c r="C126" s="1" t="s">
        <v>183</v>
      </c>
      <c r="D126" s="162">
        <f>B126</f>
        <v>0</v>
      </c>
      <c r="E126" s="1"/>
      <c r="F126" s="195">
        <v>17</v>
      </c>
      <c r="G126" s="196" t="str">
        <f t="shared" si="1"/>
        <v>MC</v>
      </c>
      <c r="H126" s="197" t="str">
        <f t="shared" si="1"/>
        <v>Murcia</v>
      </c>
      <c r="I126" s="195">
        <v>17</v>
      </c>
      <c r="J126" s="196" t="str">
        <f t="shared" si="2"/>
        <v>MC</v>
      </c>
      <c r="K126" s="197" t="str">
        <f t="shared" si="3"/>
        <v>Murcia</v>
      </c>
      <c r="L126" s="195">
        <v>17</v>
      </c>
      <c r="M126" s="196" t="str">
        <f t="shared" si="4"/>
        <v>MC</v>
      </c>
      <c r="N126" s="197" t="str">
        <f t="shared" si="5"/>
        <v>Murcia</v>
      </c>
    </row>
    <row r="127" spans="2:14" x14ac:dyDescent="0.2">
      <c r="B127" s="1">
        <f>LEN(Copiloto_Licencia)</f>
        <v>0</v>
      </c>
      <c r="C127" s="1" t="s">
        <v>172</v>
      </c>
      <c r="D127" s="162">
        <f>B127</f>
        <v>0</v>
      </c>
      <c r="E127" s="1"/>
      <c r="F127" s="195">
        <v>18</v>
      </c>
      <c r="G127" s="196" t="str">
        <f t="shared" si="1"/>
        <v>NC</v>
      </c>
      <c r="H127" s="197" t="str">
        <f t="shared" si="1"/>
        <v>Navarra</v>
      </c>
      <c r="I127" s="195">
        <v>18</v>
      </c>
      <c r="J127" s="196" t="str">
        <f t="shared" si="2"/>
        <v>NC</v>
      </c>
      <c r="K127" s="197" t="str">
        <f t="shared" si="3"/>
        <v>Navarra</v>
      </c>
      <c r="L127" s="195">
        <v>18</v>
      </c>
      <c r="M127" s="196" t="str">
        <f t="shared" si="4"/>
        <v>NC</v>
      </c>
      <c r="N127" s="197" t="str">
        <f t="shared" si="5"/>
        <v>Navarra</v>
      </c>
    </row>
    <row r="128" spans="2:14" x14ac:dyDescent="0.2">
      <c r="B128" s="1">
        <f>LEN(' Boletín de Inscripción '!D64)</f>
        <v>0</v>
      </c>
      <c r="C128" s="1" t="s">
        <v>186</v>
      </c>
      <c r="D128" s="162">
        <f>IF(B129&gt;0,1,B128)</f>
        <v>0</v>
      </c>
      <c r="E128" s="1"/>
      <c r="F128" s="195">
        <v>19</v>
      </c>
      <c r="G128" s="196" t="str">
        <f t="shared" si="1"/>
        <v>PV</v>
      </c>
      <c r="H128" s="197" t="str">
        <f t="shared" si="1"/>
        <v>País Vasco</v>
      </c>
      <c r="I128" s="195">
        <v>19</v>
      </c>
      <c r="J128" s="196" t="str">
        <f t="shared" si="2"/>
        <v>PV</v>
      </c>
      <c r="K128" s="197" t="str">
        <f t="shared" si="3"/>
        <v>País Vasco</v>
      </c>
      <c r="L128" s="195">
        <v>19</v>
      </c>
      <c r="M128" s="196" t="str">
        <f t="shared" si="4"/>
        <v>PV</v>
      </c>
      <c r="N128" s="197" t="str">
        <f t="shared" si="5"/>
        <v>País Vasco</v>
      </c>
    </row>
    <row r="129" spans="1:14" x14ac:dyDescent="0.2">
      <c r="B129" s="1">
        <f>LEN(' Boletín de Inscripción '!I64)</f>
        <v>0</v>
      </c>
      <c r="C129" s="1" t="s">
        <v>189</v>
      </c>
      <c r="D129" s="162">
        <f>IF(B128&gt;0,1,B129)</f>
        <v>0</v>
      </c>
      <c r="E129" s="1"/>
      <c r="F129" s="198">
        <v>20</v>
      </c>
      <c r="G129" s="199" t="str">
        <f t="shared" si="1"/>
        <v>VC</v>
      </c>
      <c r="H129" s="200" t="str">
        <f t="shared" si="1"/>
        <v>Valencia</v>
      </c>
      <c r="I129" s="198">
        <v>20</v>
      </c>
      <c r="J129" s="199" t="str">
        <f t="shared" si="2"/>
        <v>VC</v>
      </c>
      <c r="K129" s="200" t="str">
        <f t="shared" si="3"/>
        <v>Valencia</v>
      </c>
      <c r="L129" s="198">
        <v>20</v>
      </c>
      <c r="M129" s="199" t="str">
        <f t="shared" si="4"/>
        <v>VC</v>
      </c>
      <c r="N129" s="200" t="str">
        <f t="shared" si="5"/>
        <v>Valencia</v>
      </c>
    </row>
    <row r="130" spans="1:14" x14ac:dyDescent="0.2">
      <c r="B130" s="1">
        <f>LEN(' Boletín de Inscripción '!C69)</f>
        <v>0</v>
      </c>
      <c r="C130" s="1" t="s">
        <v>173</v>
      </c>
      <c r="D130" s="162">
        <f t="shared" ref="D130:D135" si="6">B130</f>
        <v>0</v>
      </c>
      <c r="E130" s="1"/>
    </row>
    <row r="131" spans="1:14" x14ac:dyDescent="0.2">
      <c r="B131" s="1">
        <f>LEN(' Boletín de Inscripción '!I69)</f>
        <v>0</v>
      </c>
      <c r="C131" s="1" t="s">
        <v>174</v>
      </c>
      <c r="D131" s="162">
        <f t="shared" si="6"/>
        <v>0</v>
      </c>
      <c r="E131" s="1"/>
    </row>
    <row r="132" spans="1:14" x14ac:dyDescent="0.2">
      <c r="B132" s="1">
        <f>LEN(' Boletín de Inscripción '!C72)</f>
        <v>0</v>
      </c>
      <c r="C132" s="1" t="s">
        <v>175</v>
      </c>
      <c r="D132" s="162">
        <f t="shared" si="6"/>
        <v>0</v>
      </c>
      <c r="E132" s="1"/>
    </row>
    <row r="133" spans="1:14" x14ac:dyDescent="0.2">
      <c r="B133" s="1">
        <f>LEN(' Boletín de Inscripción '!C75)</f>
        <v>0</v>
      </c>
      <c r="C133" s="1" t="s">
        <v>176</v>
      </c>
      <c r="D133" s="162">
        <f t="shared" si="6"/>
        <v>0</v>
      </c>
      <c r="E133" s="1"/>
      <c r="F133" s="1">
        <v>1</v>
      </c>
      <c r="G133" s="1" t="s">
        <v>625</v>
      </c>
      <c r="H133" s="1"/>
      <c r="I133" s="1"/>
      <c r="J133" s="1"/>
    </row>
    <row r="134" spans="1:14" x14ac:dyDescent="0.2">
      <c r="B134" s="1">
        <f>LEN(AñoHomologacion)</f>
        <v>0</v>
      </c>
      <c r="C134" s="1" t="s">
        <v>177</v>
      </c>
      <c r="D134" s="162">
        <f t="shared" si="6"/>
        <v>0</v>
      </c>
      <c r="E134" s="1"/>
      <c r="F134" s="1">
        <v>2</v>
      </c>
      <c r="G134" s="1" t="s">
        <v>626</v>
      </c>
      <c r="H134" s="1">
        <v>4</v>
      </c>
      <c r="I134" s="1" t="s">
        <v>259</v>
      </c>
      <c r="J134" s="1" t="s">
        <v>260</v>
      </c>
    </row>
    <row r="135" spans="1:14" x14ac:dyDescent="0.2">
      <c r="B135" s="1">
        <f>LEN(AñoBoletin)</f>
        <v>0</v>
      </c>
      <c r="C135" s="1" t="s">
        <v>178</v>
      </c>
      <c r="D135" s="162">
        <f t="shared" si="6"/>
        <v>0</v>
      </c>
      <c r="E135" s="1"/>
      <c r="F135" s="1">
        <v>3</v>
      </c>
      <c r="G135" s="1" t="s">
        <v>627</v>
      </c>
      <c r="H135" s="1">
        <v>8</v>
      </c>
      <c r="I135" s="1" t="s">
        <v>261</v>
      </c>
      <c r="J135" s="1" t="s">
        <v>262</v>
      </c>
    </row>
    <row r="136" spans="1:14" x14ac:dyDescent="0.2">
      <c r="B136" s="1">
        <f>IF(OR(Campeonato&gt;3),1,LEN(' Boletín de Inscripción '!C78))</f>
        <v>1</v>
      </c>
      <c r="C136" s="1" t="s">
        <v>179</v>
      </c>
      <c r="D136" s="162">
        <f>B136</f>
        <v>1</v>
      </c>
      <c r="E136" s="1"/>
      <c r="F136" s="1">
        <v>4</v>
      </c>
      <c r="G136" s="1" t="s">
        <v>628</v>
      </c>
      <c r="H136" s="1">
        <v>276</v>
      </c>
      <c r="I136" s="1" t="s">
        <v>263</v>
      </c>
      <c r="J136" s="1" t="s">
        <v>264</v>
      </c>
    </row>
    <row r="137" spans="1:14" x14ac:dyDescent="0.2">
      <c r="B137" s="1">
        <f>IF(OR(Campeonato=3,Campeonato=4),1,LEN(' Boletín de Inscripción '!G78))</f>
        <v>0</v>
      </c>
      <c r="C137" s="1" t="s">
        <v>180</v>
      </c>
      <c r="D137" s="162">
        <f>B137</f>
        <v>0</v>
      </c>
      <c r="E137" s="1"/>
      <c r="F137" s="1">
        <v>5</v>
      </c>
      <c r="G137" s="1" t="s">
        <v>633</v>
      </c>
      <c r="H137" s="1">
        <v>20</v>
      </c>
      <c r="I137" s="1" t="s">
        <v>273</v>
      </c>
      <c r="J137" s="1" t="s">
        <v>274</v>
      </c>
    </row>
    <row r="138" spans="1:14" x14ac:dyDescent="0.2">
      <c r="B138" s="1">
        <f>LEN(NombreCampeonato)-1</f>
        <v>50</v>
      </c>
      <c r="C138" s="1" t="s">
        <v>191</v>
      </c>
      <c r="D138" s="162">
        <f>B138</f>
        <v>50</v>
      </c>
      <c r="E138" s="1"/>
      <c r="F138" s="1">
        <v>6</v>
      </c>
      <c r="G138" s="1" t="s">
        <v>634</v>
      </c>
      <c r="H138" s="1">
        <v>24</v>
      </c>
      <c r="I138" s="1" t="s">
        <v>275</v>
      </c>
      <c r="J138" s="1" t="s">
        <v>276</v>
      </c>
    </row>
    <row r="139" spans="1:14" x14ac:dyDescent="0.2">
      <c r="B139" s="1">
        <f>LEN(TipoVehiculo)</f>
        <v>56</v>
      </c>
      <c r="C139" s="1" t="s">
        <v>192</v>
      </c>
      <c r="D139" s="162">
        <f>B139</f>
        <v>56</v>
      </c>
      <c r="E139" s="1"/>
      <c r="F139" s="1">
        <v>7</v>
      </c>
      <c r="G139" s="1" t="s">
        <v>635</v>
      </c>
      <c r="H139" s="1">
        <v>660</v>
      </c>
      <c r="I139" s="1" t="s">
        <v>277</v>
      </c>
      <c r="J139" s="1" t="s">
        <v>278</v>
      </c>
    </row>
    <row r="140" spans="1:14" x14ac:dyDescent="0.2">
      <c r="D140" s="161">
        <f>COUNTIF(OBLIGATORIOS,0)+COUNTIF(NUEVOSOBLIGATORIOS,0)</f>
        <v>40</v>
      </c>
      <c r="E140" s="1"/>
      <c r="F140" s="1">
        <v>8</v>
      </c>
      <c r="G140" s="1" t="s">
        <v>636</v>
      </c>
      <c r="H140" s="1">
        <v>28</v>
      </c>
      <c r="I140" s="1" t="s">
        <v>279</v>
      </c>
      <c r="J140" s="1" t="s">
        <v>280</v>
      </c>
    </row>
    <row r="141" spans="1:14" x14ac:dyDescent="0.2">
      <c r="A141" s="600" t="s">
        <v>826</v>
      </c>
      <c r="B141" s="600"/>
      <c r="C141" s="600"/>
      <c r="D141" s="218"/>
      <c r="E141" s="1"/>
      <c r="F141" s="1">
        <v>9</v>
      </c>
      <c r="G141" s="1" t="s">
        <v>637</v>
      </c>
      <c r="H141" s="1">
        <v>530</v>
      </c>
      <c r="I141" s="1" t="s">
        <v>223</v>
      </c>
      <c r="J141" s="1" t="s">
        <v>281</v>
      </c>
    </row>
    <row r="142" spans="1:14" x14ac:dyDescent="0.2">
      <c r="A142" s="255">
        <v>1</v>
      </c>
      <c r="B142" s="256" t="s">
        <v>875</v>
      </c>
      <c r="C142" s="256" t="str">
        <f>VLOOKUP(Campeonato,A142:B147,2)</f>
        <v>Campeonato de España de Regularidad (Pre81 y Pre90)</v>
      </c>
      <c r="D142" s="219"/>
      <c r="E142" s="1"/>
      <c r="F142" s="1">
        <v>10</v>
      </c>
      <c r="G142" s="1" t="s">
        <v>638</v>
      </c>
      <c r="H142" s="1">
        <v>682</v>
      </c>
      <c r="I142" s="1" t="s">
        <v>282</v>
      </c>
      <c r="J142" s="1" t="s">
        <v>283</v>
      </c>
    </row>
    <row r="143" spans="1:14" x14ac:dyDescent="0.2">
      <c r="A143" s="255">
        <v>2</v>
      </c>
      <c r="B143" s="256" t="s">
        <v>876</v>
      </c>
      <c r="C143" s="256"/>
      <c r="E143" s="1"/>
      <c r="F143" s="1">
        <v>11</v>
      </c>
      <c r="G143" s="1" t="s">
        <v>639</v>
      </c>
      <c r="H143" s="1">
        <v>12</v>
      </c>
      <c r="I143" s="1" t="s">
        <v>284</v>
      </c>
      <c r="J143" s="1" t="s">
        <v>285</v>
      </c>
    </row>
    <row r="144" spans="1:14" x14ac:dyDescent="0.2">
      <c r="A144" s="255">
        <v>3</v>
      </c>
      <c r="B144" s="256" t="s">
        <v>862</v>
      </c>
      <c r="C144" s="256"/>
      <c r="E144" s="1"/>
      <c r="F144" s="1">
        <v>12</v>
      </c>
      <c r="G144" s="1" t="s">
        <v>640</v>
      </c>
      <c r="H144" s="1">
        <v>32</v>
      </c>
      <c r="I144" s="1" t="s">
        <v>225</v>
      </c>
      <c r="J144" s="1" t="s">
        <v>286</v>
      </c>
    </row>
    <row r="145" spans="1:10" x14ac:dyDescent="0.2">
      <c r="A145" s="255">
        <v>4</v>
      </c>
      <c r="B145" s="256" t="s">
        <v>902</v>
      </c>
      <c r="C145" s="256"/>
      <c r="E145" s="1"/>
      <c r="F145" s="1">
        <v>13</v>
      </c>
      <c r="G145" s="1" t="s">
        <v>629</v>
      </c>
      <c r="H145" s="1">
        <v>51</v>
      </c>
      <c r="I145" s="1" t="s">
        <v>265</v>
      </c>
      <c r="J145" s="1" t="s">
        <v>266</v>
      </c>
    </row>
    <row r="146" spans="1:10" x14ac:dyDescent="0.2">
      <c r="A146" s="255">
        <v>5</v>
      </c>
      <c r="B146" s="256" t="s">
        <v>903</v>
      </c>
      <c r="C146" s="256"/>
      <c r="E146" s="1"/>
      <c r="F146" s="1">
        <v>14</v>
      </c>
      <c r="G146" s="1" t="s">
        <v>630</v>
      </c>
      <c r="H146" s="1">
        <v>533</v>
      </c>
      <c r="I146" s="1" t="s">
        <v>267</v>
      </c>
      <c r="J146" s="1" t="s">
        <v>268</v>
      </c>
    </row>
    <row r="147" spans="1:10" x14ac:dyDescent="0.2">
      <c r="A147" s="255">
        <v>6</v>
      </c>
      <c r="B147" s="256" t="s">
        <v>904</v>
      </c>
      <c r="C147" s="256"/>
      <c r="E147" s="1"/>
      <c r="F147" s="1">
        <v>15</v>
      </c>
      <c r="G147" s="1" t="s">
        <v>641</v>
      </c>
      <c r="H147" s="1">
        <v>36</v>
      </c>
      <c r="I147" s="1" t="s">
        <v>287</v>
      </c>
      <c r="J147" s="1" t="s">
        <v>288</v>
      </c>
    </row>
    <row r="148" spans="1:10" x14ac:dyDescent="0.2">
      <c r="A148" s="255">
        <v>7</v>
      </c>
      <c r="B148" s="256"/>
      <c r="C148" s="256"/>
      <c r="E148" s="1"/>
      <c r="F148" s="1">
        <v>16</v>
      </c>
      <c r="G148" s="1" t="s">
        <v>642</v>
      </c>
      <c r="H148" s="1">
        <v>40</v>
      </c>
      <c r="I148" s="1" t="s">
        <v>289</v>
      </c>
      <c r="J148" s="1" t="s">
        <v>290</v>
      </c>
    </row>
    <row r="149" spans="1:10" x14ac:dyDescent="0.2">
      <c r="B149" s="1">
        <f>LEN(' Boletín de Inscripción '!N46)</f>
        <v>6</v>
      </c>
      <c r="C149" s="1" t="s">
        <v>194</v>
      </c>
      <c r="D149" s="1">
        <f>B149</f>
        <v>6</v>
      </c>
      <c r="E149" s="1"/>
      <c r="F149" s="1">
        <v>17</v>
      </c>
      <c r="G149" s="1" t="s">
        <v>643</v>
      </c>
      <c r="H149" s="1">
        <v>31</v>
      </c>
      <c r="I149" s="1" t="s">
        <v>291</v>
      </c>
      <c r="J149" s="1" t="s">
        <v>292</v>
      </c>
    </row>
    <row r="150" spans="1:10" x14ac:dyDescent="0.2">
      <c r="B150" s="1">
        <f>LEN(Concursante_Copia)</f>
        <v>0</v>
      </c>
      <c r="C150" s="1" t="s">
        <v>195</v>
      </c>
      <c r="D150" s="1">
        <f>IF(B107&gt;0,1,B150)</f>
        <v>0</v>
      </c>
      <c r="E150" s="1"/>
      <c r="F150" s="1">
        <v>18</v>
      </c>
      <c r="G150" s="1" t="s">
        <v>644</v>
      </c>
      <c r="H150" s="1">
        <v>44</v>
      </c>
      <c r="I150" s="1" t="s">
        <v>293</v>
      </c>
      <c r="J150" s="1" t="s">
        <v>294</v>
      </c>
    </row>
    <row r="151" spans="1:10" x14ac:dyDescent="0.2">
      <c r="B151" s="1">
        <f>LEN(email_competidor)</f>
        <v>0</v>
      </c>
      <c r="C151" s="1" t="s">
        <v>910</v>
      </c>
      <c r="D151" s="1">
        <f>B151</f>
        <v>0</v>
      </c>
      <c r="E151" s="1"/>
      <c r="F151" s="1">
        <v>19</v>
      </c>
      <c r="G151" s="1" t="s">
        <v>645</v>
      </c>
      <c r="H151" s="1">
        <v>48</v>
      </c>
      <c r="I151" s="1" t="s">
        <v>295</v>
      </c>
      <c r="J151" s="1" t="s">
        <v>296</v>
      </c>
    </row>
    <row r="152" spans="1:10" x14ac:dyDescent="0.2">
      <c r="B152" s="1">
        <f>LEN(Piloto_Provincia)</f>
        <v>0</v>
      </c>
      <c r="C152" s="1" t="s">
        <v>196</v>
      </c>
      <c r="D152" s="1">
        <f t="shared" ref="D152:D161" si="7">B152</f>
        <v>0</v>
      </c>
      <c r="E152" s="1"/>
      <c r="F152" s="1">
        <v>20</v>
      </c>
      <c r="G152" s="1" t="s">
        <v>646</v>
      </c>
      <c r="H152" s="1">
        <v>50</v>
      </c>
      <c r="I152" s="1" t="s">
        <v>297</v>
      </c>
      <c r="J152" s="1" t="s">
        <v>298</v>
      </c>
    </row>
    <row r="153" spans="1:10" x14ac:dyDescent="0.2">
      <c r="B153" s="1">
        <f>LEN(Piloto_Pais)</f>
        <v>6</v>
      </c>
      <c r="C153" s="1" t="s">
        <v>197</v>
      </c>
      <c r="D153" s="1">
        <f t="shared" si="7"/>
        <v>6</v>
      </c>
      <c r="E153" s="1"/>
      <c r="F153" s="1">
        <v>21</v>
      </c>
      <c r="G153" s="1" t="s">
        <v>647</v>
      </c>
      <c r="H153" s="1">
        <v>52</v>
      </c>
      <c r="I153" s="1" t="s">
        <v>299</v>
      </c>
      <c r="J153" s="1" t="s">
        <v>300</v>
      </c>
    </row>
    <row r="154" spans="1:10" x14ac:dyDescent="0.2">
      <c r="B154" s="1">
        <f>LEN(email_piloto)</f>
        <v>0</v>
      </c>
      <c r="C154" s="1" t="s">
        <v>911</v>
      </c>
      <c r="D154" s="1">
        <f>B154</f>
        <v>0</v>
      </c>
      <c r="E154" s="1"/>
      <c r="F154" s="1">
        <v>22</v>
      </c>
      <c r="G154" s="1" t="s">
        <v>651</v>
      </c>
      <c r="H154" s="1">
        <v>112</v>
      </c>
      <c r="I154" s="1" t="s">
        <v>307</v>
      </c>
      <c r="J154" s="1" t="s">
        <v>308</v>
      </c>
    </row>
    <row r="155" spans="1:10" x14ac:dyDescent="0.2">
      <c r="B155" s="1">
        <f>LEN(Copiloto_Provincia)</f>
        <v>0</v>
      </c>
      <c r="C155" s="1" t="s">
        <v>198</v>
      </c>
      <c r="D155" s="1">
        <f t="shared" si="7"/>
        <v>0</v>
      </c>
      <c r="E155" s="1"/>
      <c r="F155" s="1">
        <v>23</v>
      </c>
      <c r="G155" s="1" t="s">
        <v>648</v>
      </c>
      <c r="H155" s="1">
        <v>56</v>
      </c>
      <c r="I155" s="1" t="s">
        <v>301</v>
      </c>
      <c r="J155" s="1" t="s">
        <v>302</v>
      </c>
    </row>
    <row r="156" spans="1:10" x14ac:dyDescent="0.2">
      <c r="B156" s="1">
        <f>LEN(Copiloto_Pais)</f>
        <v>6</v>
      </c>
      <c r="C156" s="1" t="s">
        <v>199</v>
      </c>
      <c r="D156" s="1">
        <f t="shared" si="7"/>
        <v>6</v>
      </c>
      <c r="E156" s="1"/>
      <c r="F156" s="1">
        <v>24</v>
      </c>
      <c r="G156" s="1" t="s">
        <v>649</v>
      </c>
      <c r="H156" s="1">
        <v>84</v>
      </c>
      <c r="I156" s="1" t="s">
        <v>303</v>
      </c>
      <c r="J156" s="1" t="s">
        <v>304</v>
      </c>
    </row>
    <row r="157" spans="1:10" x14ac:dyDescent="0.2">
      <c r="B157" s="1">
        <f>LEN(email_copiloto)</f>
        <v>0</v>
      </c>
      <c r="C157" s="1" t="s">
        <v>912</v>
      </c>
      <c r="D157" s="1">
        <f>B157</f>
        <v>0</v>
      </c>
      <c r="E157" s="1"/>
      <c r="F157" s="1">
        <v>25</v>
      </c>
      <c r="G157" s="1" t="s">
        <v>650</v>
      </c>
      <c r="H157" s="1">
        <v>60</v>
      </c>
      <c r="I157" s="1" t="s">
        <v>305</v>
      </c>
      <c r="J157" s="1" t="s">
        <v>306</v>
      </c>
    </row>
    <row r="158" spans="1:10" x14ac:dyDescent="0.2">
      <c r="B158" s="1">
        <f>LEN(' Boletín de Inscripción '!D46)</f>
        <v>0</v>
      </c>
      <c r="C158" s="1" t="s">
        <v>193</v>
      </c>
      <c r="D158" s="1">
        <f t="shared" si="7"/>
        <v>0</v>
      </c>
      <c r="E158" s="1"/>
      <c r="F158" s="1">
        <v>26</v>
      </c>
      <c r="G158" s="1" t="s">
        <v>653</v>
      </c>
      <c r="H158" s="1">
        <v>68</v>
      </c>
      <c r="I158" s="1" t="s">
        <v>311</v>
      </c>
      <c r="J158" s="1" t="s">
        <v>312</v>
      </c>
    </row>
    <row r="159" spans="1:10" x14ac:dyDescent="0.2">
      <c r="B159" s="1">
        <f>IF(Concursante_CCAA=" ",0,LEN(Concursante_CCAA))</f>
        <v>0</v>
      </c>
      <c r="C159" s="1" t="s">
        <v>218</v>
      </c>
      <c r="D159" s="1">
        <f t="shared" si="7"/>
        <v>0</v>
      </c>
      <c r="E159" s="1"/>
      <c r="F159" s="1">
        <v>27</v>
      </c>
      <c r="G159" s="1" t="s">
        <v>631</v>
      </c>
      <c r="H159" s="1">
        <v>70</v>
      </c>
      <c r="I159" s="1" t="s">
        <v>269</v>
      </c>
      <c r="J159" s="1" t="s">
        <v>270</v>
      </c>
    </row>
    <row r="160" spans="1:10" x14ac:dyDescent="0.2">
      <c r="B160" s="1">
        <f>IF(Piloto_CCAA=" ",0,LEN(Piloto_CCAA))</f>
        <v>0</v>
      </c>
      <c r="C160" s="1" t="s">
        <v>219</v>
      </c>
      <c r="D160" s="1">
        <f t="shared" si="7"/>
        <v>0</v>
      </c>
      <c r="E160" s="1"/>
      <c r="F160" s="1">
        <v>28</v>
      </c>
      <c r="G160" s="1" t="s">
        <v>654</v>
      </c>
      <c r="H160" s="1">
        <v>72</v>
      </c>
      <c r="I160" s="1" t="s">
        <v>313</v>
      </c>
      <c r="J160" s="1" t="s">
        <v>314</v>
      </c>
    </row>
    <row r="161" spans="2:10" x14ac:dyDescent="0.2">
      <c r="B161" s="1">
        <f>IF(Copiloto_CCAA=" ",0,LEN(Copiloto_CCAA))</f>
        <v>0</v>
      </c>
      <c r="C161" s="1" t="s">
        <v>220</v>
      </c>
      <c r="D161" s="1">
        <f t="shared" si="7"/>
        <v>0</v>
      </c>
      <c r="E161" s="1"/>
      <c r="F161" s="1">
        <v>29</v>
      </c>
      <c r="G161" s="1" t="s">
        <v>655</v>
      </c>
      <c r="H161" s="1">
        <v>76</v>
      </c>
      <c r="I161" s="1" t="s">
        <v>315</v>
      </c>
      <c r="J161" s="1" t="s">
        <v>316</v>
      </c>
    </row>
    <row r="162" spans="2:10" x14ac:dyDescent="0.2">
      <c r="E162" s="1"/>
      <c r="F162" s="1">
        <v>30</v>
      </c>
      <c r="G162" s="1" t="s">
        <v>656</v>
      </c>
      <c r="H162" s="1">
        <v>100</v>
      </c>
      <c r="I162" s="1" t="s">
        <v>317</v>
      </c>
      <c r="J162" s="1" t="s">
        <v>318</v>
      </c>
    </row>
    <row r="163" spans="2:10" x14ac:dyDescent="0.2">
      <c r="E163" s="1"/>
      <c r="F163" s="1">
        <v>31</v>
      </c>
      <c r="G163" s="1" t="s">
        <v>632</v>
      </c>
      <c r="H163" s="1">
        <v>854</v>
      </c>
      <c r="I163" s="1" t="s">
        <v>271</v>
      </c>
      <c r="J163" s="1" t="s">
        <v>272</v>
      </c>
    </row>
    <row r="164" spans="2:10" x14ac:dyDescent="0.2">
      <c r="E164" s="1"/>
      <c r="F164" s="1">
        <v>32</v>
      </c>
      <c r="G164" s="1" t="s">
        <v>657</v>
      </c>
      <c r="H164" s="1">
        <v>108</v>
      </c>
      <c r="I164" s="1" t="s">
        <v>319</v>
      </c>
      <c r="J164" s="1" t="s">
        <v>320</v>
      </c>
    </row>
    <row r="165" spans="2:10" x14ac:dyDescent="0.2">
      <c r="E165" s="1"/>
      <c r="F165" s="1">
        <v>33</v>
      </c>
      <c r="G165" s="1" t="s">
        <v>658</v>
      </c>
      <c r="H165" s="1">
        <v>64</v>
      </c>
      <c r="I165" s="1" t="s">
        <v>321</v>
      </c>
      <c r="J165" s="1" t="s">
        <v>322</v>
      </c>
    </row>
    <row r="166" spans="2:10" x14ac:dyDescent="0.2">
      <c r="E166" s="1"/>
      <c r="F166" s="1">
        <v>34</v>
      </c>
      <c r="G166" s="1" t="s">
        <v>659</v>
      </c>
      <c r="H166" s="1">
        <v>132</v>
      </c>
      <c r="I166" s="1" t="s">
        <v>323</v>
      </c>
      <c r="J166" s="1" t="s">
        <v>324</v>
      </c>
    </row>
    <row r="167" spans="2:10" x14ac:dyDescent="0.2">
      <c r="E167" s="1"/>
      <c r="F167" s="1">
        <v>35</v>
      </c>
      <c r="G167" s="1" t="s">
        <v>660</v>
      </c>
      <c r="H167" s="1">
        <v>136</v>
      </c>
      <c r="I167" s="1" t="s">
        <v>325</v>
      </c>
      <c r="J167" s="1" t="s">
        <v>326</v>
      </c>
    </row>
    <row r="168" spans="2:10" x14ac:dyDescent="0.2">
      <c r="E168" s="1"/>
      <c r="F168" s="1">
        <v>36</v>
      </c>
      <c r="G168" s="1" t="s">
        <v>661</v>
      </c>
      <c r="H168" s="1">
        <v>116</v>
      </c>
      <c r="I168" s="1" t="s">
        <v>327</v>
      </c>
      <c r="J168" s="1" t="s">
        <v>328</v>
      </c>
    </row>
    <row r="169" spans="2:10" x14ac:dyDescent="0.2">
      <c r="E169" s="1"/>
      <c r="F169" s="1">
        <v>37</v>
      </c>
      <c r="G169" s="1" t="s">
        <v>662</v>
      </c>
      <c r="H169" s="1">
        <v>120</v>
      </c>
      <c r="I169" s="1" t="s">
        <v>235</v>
      </c>
      <c r="J169" s="1" t="s">
        <v>329</v>
      </c>
    </row>
    <row r="170" spans="2:10" x14ac:dyDescent="0.2">
      <c r="E170" s="1"/>
      <c r="F170" s="1">
        <v>38</v>
      </c>
      <c r="G170" s="1" t="s">
        <v>663</v>
      </c>
      <c r="H170" s="1">
        <v>124</v>
      </c>
      <c r="I170" s="1" t="s">
        <v>330</v>
      </c>
      <c r="J170" s="1" t="s">
        <v>331</v>
      </c>
    </row>
    <row r="171" spans="2:10" x14ac:dyDescent="0.2">
      <c r="E171" s="1"/>
      <c r="F171" s="1">
        <v>39</v>
      </c>
      <c r="G171" s="1" t="s">
        <v>675</v>
      </c>
      <c r="H171" s="1">
        <v>152</v>
      </c>
      <c r="I171" s="1" t="s">
        <v>236</v>
      </c>
      <c r="J171" s="1" t="s">
        <v>354</v>
      </c>
    </row>
    <row r="172" spans="2:10" x14ac:dyDescent="0.2">
      <c r="E172" s="1"/>
      <c r="F172" s="1">
        <v>40</v>
      </c>
      <c r="G172" s="1" t="s">
        <v>676</v>
      </c>
      <c r="H172" s="1">
        <v>156</v>
      </c>
      <c r="I172" s="1" t="s">
        <v>231</v>
      </c>
      <c r="J172" s="1" t="s">
        <v>355</v>
      </c>
    </row>
    <row r="173" spans="2:10" x14ac:dyDescent="0.2">
      <c r="E173" s="1"/>
      <c r="F173" s="1">
        <v>41</v>
      </c>
      <c r="G173" s="1" t="s">
        <v>678</v>
      </c>
      <c r="H173" s="1">
        <v>196</v>
      </c>
      <c r="I173" s="1" t="s">
        <v>358</v>
      </c>
      <c r="J173" s="1" t="s">
        <v>359</v>
      </c>
    </row>
    <row r="174" spans="2:10" x14ac:dyDescent="0.2">
      <c r="E174" s="1"/>
      <c r="F174" s="1">
        <v>42</v>
      </c>
      <c r="G174" s="1" t="s">
        <v>665</v>
      </c>
      <c r="H174" s="1">
        <v>170</v>
      </c>
      <c r="I174" s="1" t="s">
        <v>334</v>
      </c>
      <c r="J174" s="1" t="s">
        <v>335</v>
      </c>
    </row>
    <row r="175" spans="2:10" x14ac:dyDescent="0.2">
      <c r="E175" s="1"/>
      <c r="F175" s="1">
        <v>43</v>
      </c>
      <c r="G175" s="1" t="s">
        <v>666</v>
      </c>
      <c r="H175" s="1">
        <v>174</v>
      </c>
      <c r="I175" s="1" t="s">
        <v>336</v>
      </c>
      <c r="J175" s="1" t="s">
        <v>337</v>
      </c>
    </row>
    <row r="176" spans="2:10" x14ac:dyDescent="0.2">
      <c r="E176" s="1"/>
      <c r="F176" s="1">
        <v>44</v>
      </c>
      <c r="G176" s="1" t="s">
        <v>667</v>
      </c>
      <c r="H176" s="1">
        <v>178</v>
      </c>
      <c r="I176" s="1" t="s">
        <v>338</v>
      </c>
      <c r="J176" s="1" t="s">
        <v>339</v>
      </c>
    </row>
    <row r="177" spans="5:10" x14ac:dyDescent="0.2">
      <c r="E177" s="1"/>
      <c r="F177" s="1">
        <v>45</v>
      </c>
      <c r="G177" s="1" t="s">
        <v>667</v>
      </c>
      <c r="H177" s="1">
        <v>180</v>
      </c>
      <c r="I177" s="1" t="s">
        <v>618</v>
      </c>
      <c r="J177" s="1" t="s">
        <v>619</v>
      </c>
    </row>
    <row r="178" spans="5:10" x14ac:dyDescent="0.2">
      <c r="E178" s="1"/>
      <c r="F178" s="1">
        <v>46</v>
      </c>
      <c r="G178" s="1" t="s">
        <v>668</v>
      </c>
      <c r="H178" s="1">
        <v>184</v>
      </c>
      <c r="I178" s="1" t="s">
        <v>340</v>
      </c>
      <c r="J178" s="1" t="s">
        <v>341</v>
      </c>
    </row>
    <row r="179" spans="5:10" x14ac:dyDescent="0.2">
      <c r="E179" s="1"/>
      <c r="F179" s="1">
        <v>47</v>
      </c>
      <c r="G179" s="1" t="s">
        <v>670</v>
      </c>
      <c r="H179" s="1">
        <v>410</v>
      </c>
      <c r="I179" s="1" t="s">
        <v>344</v>
      </c>
      <c r="J179" s="1" t="s">
        <v>345</v>
      </c>
    </row>
    <row r="180" spans="5:10" x14ac:dyDescent="0.2">
      <c r="E180" s="1"/>
      <c r="F180" s="1">
        <v>48</v>
      </c>
      <c r="G180" s="1" t="s">
        <v>669</v>
      </c>
      <c r="H180" s="1">
        <v>408</v>
      </c>
      <c r="I180" s="1" t="s">
        <v>342</v>
      </c>
      <c r="J180" s="1" t="s">
        <v>343</v>
      </c>
    </row>
    <row r="181" spans="5:10" x14ac:dyDescent="0.2">
      <c r="E181" s="1"/>
      <c r="F181" s="1">
        <v>49</v>
      </c>
      <c r="G181" s="1" t="s">
        <v>671</v>
      </c>
      <c r="H181" s="1">
        <v>384</v>
      </c>
      <c r="I181" s="1" t="s">
        <v>346</v>
      </c>
      <c r="J181" s="1" t="s">
        <v>347</v>
      </c>
    </row>
    <row r="182" spans="5:10" x14ac:dyDescent="0.2">
      <c r="E182" s="1"/>
      <c r="F182" s="1">
        <v>50</v>
      </c>
      <c r="G182" s="1" t="s">
        <v>672</v>
      </c>
      <c r="H182" s="1">
        <v>188</v>
      </c>
      <c r="I182" s="1" t="s">
        <v>348</v>
      </c>
      <c r="J182" s="1" t="s">
        <v>349</v>
      </c>
    </row>
    <row r="183" spans="5:10" x14ac:dyDescent="0.2">
      <c r="E183" s="1"/>
      <c r="F183" s="1">
        <v>51</v>
      </c>
      <c r="G183" s="1" t="s">
        <v>673</v>
      </c>
      <c r="H183" s="1">
        <v>191</v>
      </c>
      <c r="I183" s="1" t="s">
        <v>350</v>
      </c>
      <c r="J183" s="1" t="s">
        <v>351</v>
      </c>
    </row>
    <row r="184" spans="5:10" x14ac:dyDescent="0.2">
      <c r="E184" s="1"/>
      <c r="F184" s="1">
        <v>52</v>
      </c>
      <c r="G184" s="1" t="s">
        <v>674</v>
      </c>
      <c r="H184" s="1">
        <v>192</v>
      </c>
      <c r="I184" s="1" t="s">
        <v>352</v>
      </c>
      <c r="J184" s="1" t="s">
        <v>353</v>
      </c>
    </row>
    <row r="185" spans="5:10" x14ac:dyDescent="0.2">
      <c r="E185" s="1"/>
      <c r="F185" s="1">
        <v>53</v>
      </c>
      <c r="G185" s="1" t="s">
        <v>679</v>
      </c>
      <c r="H185" s="1">
        <v>208</v>
      </c>
      <c r="I185" s="1" t="s">
        <v>360</v>
      </c>
      <c r="J185" s="1" t="s">
        <v>361</v>
      </c>
    </row>
    <row r="186" spans="5:10" x14ac:dyDescent="0.2">
      <c r="E186" s="1"/>
      <c r="F186" s="1">
        <v>54</v>
      </c>
      <c r="G186" s="1" t="s">
        <v>680</v>
      </c>
      <c r="H186" s="1">
        <v>212</v>
      </c>
      <c r="I186" s="1" t="s">
        <v>362</v>
      </c>
      <c r="J186" s="1" t="s">
        <v>363</v>
      </c>
    </row>
    <row r="187" spans="5:10" x14ac:dyDescent="0.2">
      <c r="E187" s="1"/>
      <c r="F187" s="1">
        <v>55</v>
      </c>
      <c r="G187" s="1" t="s">
        <v>681</v>
      </c>
      <c r="H187" s="1">
        <v>218</v>
      </c>
      <c r="I187" s="1" t="s">
        <v>364</v>
      </c>
      <c r="J187" s="1" t="s">
        <v>365</v>
      </c>
    </row>
    <row r="188" spans="5:10" x14ac:dyDescent="0.2">
      <c r="E188" s="1"/>
      <c r="F188" s="1">
        <v>56</v>
      </c>
      <c r="G188" s="1" t="s">
        <v>682</v>
      </c>
      <c r="H188" s="1">
        <v>818</v>
      </c>
      <c r="I188" s="1" t="s">
        <v>366</v>
      </c>
      <c r="J188" s="1" t="s">
        <v>367</v>
      </c>
    </row>
    <row r="189" spans="5:10" x14ac:dyDescent="0.2">
      <c r="E189" s="1"/>
      <c r="F189" s="1">
        <v>57</v>
      </c>
      <c r="G189" s="1" t="s">
        <v>683</v>
      </c>
      <c r="H189" s="1">
        <v>222</v>
      </c>
      <c r="I189" s="1" t="s">
        <v>368</v>
      </c>
      <c r="J189" s="1" t="s">
        <v>369</v>
      </c>
    </row>
    <row r="190" spans="5:10" x14ac:dyDescent="0.2">
      <c r="E190" s="1"/>
      <c r="F190" s="1">
        <v>58</v>
      </c>
      <c r="G190" s="1" t="s">
        <v>685</v>
      </c>
      <c r="H190" s="1">
        <v>784</v>
      </c>
      <c r="I190" s="1" t="s">
        <v>372</v>
      </c>
      <c r="J190" s="1" t="s">
        <v>373</v>
      </c>
    </row>
    <row r="191" spans="5:10" x14ac:dyDescent="0.2">
      <c r="E191" s="1"/>
      <c r="F191" s="1">
        <v>59</v>
      </c>
      <c r="G191" s="1" t="s">
        <v>684</v>
      </c>
      <c r="H191" s="1">
        <v>232</v>
      </c>
      <c r="I191" s="1" t="s">
        <v>370</v>
      </c>
      <c r="J191" s="1" t="s">
        <v>371</v>
      </c>
    </row>
    <row r="192" spans="5:10" x14ac:dyDescent="0.2">
      <c r="E192" s="1"/>
      <c r="F192" s="1">
        <v>60</v>
      </c>
      <c r="G192" s="1" t="s">
        <v>686</v>
      </c>
      <c r="H192" s="1">
        <v>703</v>
      </c>
      <c r="I192" s="1" t="s">
        <v>376</v>
      </c>
      <c r="J192" s="1" t="s">
        <v>377</v>
      </c>
    </row>
    <row r="193" spans="5:10" x14ac:dyDescent="0.2">
      <c r="E193" s="1"/>
      <c r="F193" s="1">
        <v>61</v>
      </c>
      <c r="G193" s="1" t="s">
        <v>687</v>
      </c>
      <c r="H193" s="1">
        <v>705</v>
      </c>
      <c r="I193" s="1" t="s">
        <v>378</v>
      </c>
      <c r="J193" s="1" t="s">
        <v>379</v>
      </c>
    </row>
    <row r="194" spans="5:10" x14ac:dyDescent="0.2">
      <c r="E194" s="1"/>
      <c r="F194" s="1">
        <v>62</v>
      </c>
      <c r="G194" s="1" t="s">
        <v>73</v>
      </c>
      <c r="H194" s="1">
        <v>724</v>
      </c>
      <c r="I194" s="1" t="s">
        <v>374</v>
      </c>
      <c r="J194" s="1" t="s">
        <v>375</v>
      </c>
    </row>
    <row r="195" spans="5:10" x14ac:dyDescent="0.2">
      <c r="E195" s="1"/>
      <c r="F195" s="1">
        <v>63</v>
      </c>
      <c r="G195" s="1" t="s">
        <v>688</v>
      </c>
      <c r="H195" s="1">
        <v>840</v>
      </c>
      <c r="I195" s="1" t="s">
        <v>380</v>
      </c>
      <c r="J195" s="1" t="s">
        <v>381</v>
      </c>
    </row>
    <row r="196" spans="5:10" x14ac:dyDescent="0.2">
      <c r="E196" s="1"/>
      <c r="F196" s="1">
        <v>64</v>
      </c>
      <c r="G196" s="1" t="s">
        <v>689</v>
      </c>
      <c r="H196" s="1">
        <v>233</v>
      </c>
      <c r="I196" s="1" t="s">
        <v>382</v>
      </c>
      <c r="J196" s="1" t="s">
        <v>383</v>
      </c>
    </row>
    <row r="197" spans="5:10" x14ac:dyDescent="0.2">
      <c r="E197" s="1"/>
      <c r="F197" s="1">
        <v>65</v>
      </c>
      <c r="G197" s="1" t="s">
        <v>690</v>
      </c>
      <c r="H197" s="1">
        <v>231</v>
      </c>
      <c r="I197" s="1" t="s">
        <v>384</v>
      </c>
      <c r="J197" s="1" t="s">
        <v>385</v>
      </c>
    </row>
    <row r="198" spans="5:10" x14ac:dyDescent="0.2">
      <c r="E198" s="1"/>
      <c r="F198" s="1">
        <v>66</v>
      </c>
      <c r="G198" s="1" t="s">
        <v>806</v>
      </c>
      <c r="H198" s="1">
        <v>242</v>
      </c>
      <c r="I198" s="1" t="s">
        <v>612</v>
      </c>
      <c r="J198" s="1" t="s">
        <v>613</v>
      </c>
    </row>
    <row r="199" spans="5:10" x14ac:dyDescent="0.2">
      <c r="E199" s="1"/>
      <c r="F199" s="1">
        <v>67</v>
      </c>
      <c r="G199" s="1" t="s">
        <v>692</v>
      </c>
      <c r="H199" s="1">
        <v>608</v>
      </c>
      <c r="I199" s="1" t="s">
        <v>388</v>
      </c>
      <c r="J199" s="1" t="s">
        <v>389</v>
      </c>
    </row>
    <row r="200" spans="5:10" x14ac:dyDescent="0.2">
      <c r="E200" s="1"/>
      <c r="F200" s="1">
        <v>68</v>
      </c>
      <c r="G200" s="1" t="s">
        <v>693</v>
      </c>
      <c r="H200" s="1">
        <v>246</v>
      </c>
      <c r="I200" s="1" t="s">
        <v>390</v>
      </c>
      <c r="J200" s="1" t="s">
        <v>391</v>
      </c>
    </row>
    <row r="201" spans="5:10" x14ac:dyDescent="0.2">
      <c r="E201" s="1"/>
      <c r="F201" s="1">
        <v>69</v>
      </c>
      <c r="G201" s="1" t="s">
        <v>694</v>
      </c>
      <c r="H201" s="1">
        <v>250</v>
      </c>
      <c r="I201" s="1" t="s">
        <v>392</v>
      </c>
      <c r="J201" s="1" t="s">
        <v>393</v>
      </c>
    </row>
    <row r="202" spans="5:10" x14ac:dyDescent="0.2">
      <c r="E202" s="1"/>
      <c r="F202" s="1">
        <v>70</v>
      </c>
      <c r="G202" s="1" t="s">
        <v>695</v>
      </c>
      <c r="H202" s="1">
        <v>266</v>
      </c>
      <c r="I202" s="1" t="s">
        <v>244</v>
      </c>
      <c r="J202" s="1" t="s">
        <v>394</v>
      </c>
    </row>
    <row r="203" spans="5:10" x14ac:dyDescent="0.2">
      <c r="E203" s="1"/>
      <c r="F203" s="1">
        <v>71</v>
      </c>
      <c r="G203" s="1" t="s">
        <v>696</v>
      </c>
      <c r="H203" s="1">
        <v>270</v>
      </c>
      <c r="I203" s="1" t="s">
        <v>395</v>
      </c>
      <c r="J203" s="1" t="s">
        <v>396</v>
      </c>
    </row>
    <row r="204" spans="5:10" x14ac:dyDescent="0.2">
      <c r="E204" s="1"/>
      <c r="F204" s="1">
        <v>72</v>
      </c>
      <c r="G204" s="1" t="s">
        <v>697</v>
      </c>
      <c r="H204" s="1">
        <v>268</v>
      </c>
      <c r="I204" s="1" t="s">
        <v>397</v>
      </c>
      <c r="J204" s="1" t="s">
        <v>398</v>
      </c>
    </row>
    <row r="205" spans="5:10" x14ac:dyDescent="0.2">
      <c r="E205" s="1"/>
      <c r="F205" s="1">
        <v>73</v>
      </c>
      <c r="G205" s="1" t="s">
        <v>698</v>
      </c>
      <c r="H205" s="1">
        <v>288</v>
      </c>
      <c r="I205" s="1" t="s">
        <v>399</v>
      </c>
      <c r="J205" s="1" t="s">
        <v>400</v>
      </c>
    </row>
    <row r="206" spans="5:10" x14ac:dyDescent="0.2">
      <c r="E206" s="1"/>
      <c r="F206" s="1">
        <v>74</v>
      </c>
      <c r="G206" s="1" t="s">
        <v>699</v>
      </c>
      <c r="H206" s="1">
        <v>292</v>
      </c>
      <c r="I206" s="1" t="s">
        <v>401</v>
      </c>
      <c r="J206" s="1" t="s">
        <v>402</v>
      </c>
    </row>
    <row r="207" spans="5:10" x14ac:dyDescent="0.2">
      <c r="E207" s="1"/>
      <c r="F207" s="1">
        <v>75</v>
      </c>
      <c r="G207" s="1" t="s">
        <v>700</v>
      </c>
      <c r="H207" s="1">
        <v>308</v>
      </c>
      <c r="I207" s="1" t="s">
        <v>403</v>
      </c>
      <c r="J207" s="1" t="s">
        <v>404</v>
      </c>
    </row>
    <row r="208" spans="5:10" x14ac:dyDescent="0.2">
      <c r="E208" s="1"/>
      <c r="F208" s="1">
        <v>76</v>
      </c>
      <c r="G208" s="1" t="s">
        <v>701</v>
      </c>
      <c r="H208" s="1">
        <v>300</v>
      </c>
      <c r="I208" s="1" t="s">
        <v>405</v>
      </c>
      <c r="J208" s="1" t="s">
        <v>406</v>
      </c>
    </row>
    <row r="209" spans="5:10" x14ac:dyDescent="0.2">
      <c r="E209" s="1"/>
      <c r="F209" s="1">
        <v>77</v>
      </c>
      <c r="G209" s="1" t="s">
        <v>702</v>
      </c>
      <c r="H209" s="1">
        <v>304</v>
      </c>
      <c r="I209" s="1" t="s">
        <v>407</v>
      </c>
      <c r="J209" s="1" t="s">
        <v>408</v>
      </c>
    </row>
    <row r="210" spans="5:10" x14ac:dyDescent="0.2">
      <c r="E210" s="1"/>
      <c r="F210" s="1">
        <v>78</v>
      </c>
      <c r="G210" s="1" t="s">
        <v>703</v>
      </c>
      <c r="H210" s="1">
        <v>320</v>
      </c>
      <c r="I210" s="1" t="s">
        <v>409</v>
      </c>
      <c r="J210" s="1" t="s">
        <v>410</v>
      </c>
    </row>
    <row r="211" spans="5:10" x14ac:dyDescent="0.2">
      <c r="E211" s="1"/>
      <c r="F211" s="1">
        <v>79</v>
      </c>
      <c r="G211" s="1" t="s">
        <v>704</v>
      </c>
      <c r="H211" s="1">
        <v>324</v>
      </c>
      <c r="I211" s="1" t="s">
        <v>411</v>
      </c>
      <c r="J211" s="1" t="s">
        <v>412</v>
      </c>
    </row>
    <row r="212" spans="5:10" x14ac:dyDescent="0.2">
      <c r="E212" s="1"/>
      <c r="F212" s="1">
        <v>80</v>
      </c>
      <c r="G212" s="1" t="s">
        <v>705</v>
      </c>
      <c r="H212" s="1">
        <v>226</v>
      </c>
      <c r="I212" s="1" t="s">
        <v>413</v>
      </c>
      <c r="J212" s="1" t="s">
        <v>414</v>
      </c>
    </row>
    <row r="213" spans="5:10" x14ac:dyDescent="0.2">
      <c r="E213" s="1"/>
      <c r="F213" s="1">
        <v>81</v>
      </c>
      <c r="G213" s="1" t="s">
        <v>706</v>
      </c>
      <c r="H213" s="1">
        <v>328</v>
      </c>
      <c r="I213" s="1" t="s">
        <v>415</v>
      </c>
      <c r="J213" s="1" t="s">
        <v>416</v>
      </c>
    </row>
    <row r="214" spans="5:10" x14ac:dyDescent="0.2">
      <c r="E214" s="1"/>
      <c r="F214" s="1">
        <v>82</v>
      </c>
      <c r="G214" s="1" t="s">
        <v>707</v>
      </c>
      <c r="H214" s="1">
        <v>332</v>
      </c>
      <c r="I214" s="1" t="s">
        <v>417</v>
      </c>
      <c r="J214" s="1" t="s">
        <v>418</v>
      </c>
    </row>
    <row r="215" spans="5:10" x14ac:dyDescent="0.2">
      <c r="E215" s="1"/>
      <c r="F215" s="1">
        <v>83</v>
      </c>
      <c r="G215" s="1" t="s">
        <v>708</v>
      </c>
      <c r="H215" s="1">
        <v>340</v>
      </c>
      <c r="I215" s="1" t="s">
        <v>419</v>
      </c>
      <c r="J215" s="1" t="s">
        <v>420</v>
      </c>
    </row>
    <row r="216" spans="5:10" x14ac:dyDescent="0.2">
      <c r="E216" s="1"/>
      <c r="F216" s="1">
        <v>84</v>
      </c>
      <c r="G216" s="1" t="s">
        <v>709</v>
      </c>
      <c r="H216" s="1">
        <v>344</v>
      </c>
      <c r="I216" s="1" t="s">
        <v>421</v>
      </c>
      <c r="J216" s="1" t="s">
        <v>422</v>
      </c>
    </row>
    <row r="217" spans="5:10" x14ac:dyDescent="0.2">
      <c r="E217" s="1"/>
      <c r="F217" s="1">
        <v>85</v>
      </c>
      <c r="G217" s="1" t="s">
        <v>710</v>
      </c>
      <c r="H217" s="1">
        <v>348</v>
      </c>
      <c r="I217" s="1" t="s">
        <v>423</v>
      </c>
      <c r="J217" s="1" t="s">
        <v>424</v>
      </c>
    </row>
    <row r="218" spans="5:10" x14ac:dyDescent="0.2">
      <c r="E218" s="1"/>
      <c r="F218" s="1">
        <v>86</v>
      </c>
      <c r="G218" s="1" t="s">
        <v>711</v>
      </c>
      <c r="H218" s="1">
        <v>356</v>
      </c>
      <c r="I218" s="1" t="s">
        <v>425</v>
      </c>
      <c r="J218" s="1" t="s">
        <v>426</v>
      </c>
    </row>
    <row r="219" spans="5:10" x14ac:dyDescent="0.2">
      <c r="E219" s="1"/>
      <c r="F219" s="1">
        <v>87</v>
      </c>
      <c r="G219" s="1" t="s">
        <v>712</v>
      </c>
      <c r="H219" s="1">
        <v>360</v>
      </c>
      <c r="I219" s="1" t="s">
        <v>427</v>
      </c>
      <c r="J219" s="1" t="s">
        <v>428</v>
      </c>
    </row>
    <row r="220" spans="5:10" x14ac:dyDescent="0.2">
      <c r="E220" s="1"/>
      <c r="F220" s="1">
        <v>88</v>
      </c>
      <c r="G220" s="1" t="s">
        <v>713</v>
      </c>
      <c r="H220" s="1">
        <v>368</v>
      </c>
      <c r="I220" s="1" t="s">
        <v>429</v>
      </c>
      <c r="J220" s="1" t="s">
        <v>430</v>
      </c>
    </row>
    <row r="221" spans="5:10" x14ac:dyDescent="0.2">
      <c r="E221" s="1"/>
      <c r="F221" s="1">
        <v>89</v>
      </c>
      <c r="G221" s="1" t="s">
        <v>714</v>
      </c>
      <c r="H221" s="1">
        <v>364</v>
      </c>
      <c r="I221" s="1" t="s">
        <v>431</v>
      </c>
      <c r="J221" s="1" t="s">
        <v>432</v>
      </c>
    </row>
    <row r="222" spans="5:10" x14ac:dyDescent="0.2">
      <c r="E222" s="1"/>
      <c r="F222" s="1">
        <v>90</v>
      </c>
      <c r="G222" s="1" t="s">
        <v>715</v>
      </c>
      <c r="H222" s="1">
        <v>372</v>
      </c>
      <c r="I222" s="1" t="s">
        <v>433</v>
      </c>
      <c r="J222" s="1" t="s">
        <v>434</v>
      </c>
    </row>
    <row r="223" spans="5:10" x14ac:dyDescent="0.2">
      <c r="E223" s="1"/>
      <c r="F223" s="1">
        <v>91</v>
      </c>
      <c r="G223" s="1" t="s">
        <v>716</v>
      </c>
      <c r="H223" s="1">
        <v>352</v>
      </c>
      <c r="I223" s="1" t="s">
        <v>435</v>
      </c>
      <c r="J223" s="1" t="s">
        <v>436</v>
      </c>
    </row>
    <row r="224" spans="5:10" x14ac:dyDescent="0.2">
      <c r="E224" s="1"/>
      <c r="F224" s="1">
        <v>92</v>
      </c>
      <c r="G224" s="1" t="s">
        <v>691</v>
      </c>
      <c r="H224" s="1">
        <v>234</v>
      </c>
      <c r="I224" s="1" t="s">
        <v>386</v>
      </c>
      <c r="J224" s="1" t="s">
        <v>387</v>
      </c>
    </row>
    <row r="225" spans="5:10" x14ac:dyDescent="0.2">
      <c r="E225" s="1"/>
      <c r="F225" s="1">
        <v>93</v>
      </c>
      <c r="G225" s="1" t="s">
        <v>717</v>
      </c>
      <c r="H225" s="1">
        <v>376</v>
      </c>
      <c r="I225" s="1" t="s">
        <v>437</v>
      </c>
      <c r="J225" s="1" t="s">
        <v>438</v>
      </c>
    </row>
    <row r="226" spans="5:10" x14ac:dyDescent="0.2">
      <c r="E226" s="1"/>
      <c r="F226" s="1">
        <v>94</v>
      </c>
      <c r="G226" s="1" t="s">
        <v>718</v>
      </c>
      <c r="H226" s="1">
        <v>380</v>
      </c>
      <c r="I226" s="1" t="s">
        <v>439</v>
      </c>
      <c r="J226" s="1" t="s">
        <v>440</v>
      </c>
    </row>
    <row r="227" spans="5:10" x14ac:dyDescent="0.2">
      <c r="E227" s="1"/>
      <c r="F227" s="1">
        <v>95</v>
      </c>
      <c r="G227" s="1" t="s">
        <v>719</v>
      </c>
      <c r="H227" s="1">
        <v>388</v>
      </c>
      <c r="I227" s="1" t="s">
        <v>441</v>
      </c>
      <c r="J227" s="1" t="s">
        <v>442</v>
      </c>
    </row>
    <row r="228" spans="5:10" x14ac:dyDescent="0.2">
      <c r="E228" s="1"/>
      <c r="F228" s="1">
        <v>96</v>
      </c>
      <c r="G228" s="1" t="s">
        <v>720</v>
      </c>
      <c r="H228" s="1">
        <v>392</v>
      </c>
      <c r="I228" s="1" t="s">
        <v>443</v>
      </c>
      <c r="J228" s="1" t="s">
        <v>444</v>
      </c>
    </row>
    <row r="229" spans="5:10" x14ac:dyDescent="0.2">
      <c r="E229" s="1"/>
      <c r="F229" s="1">
        <v>97</v>
      </c>
      <c r="G229" s="1" t="s">
        <v>721</v>
      </c>
      <c r="H229" s="1">
        <v>400</v>
      </c>
      <c r="I229" s="1" t="s">
        <v>445</v>
      </c>
      <c r="J229" s="1" t="s">
        <v>446</v>
      </c>
    </row>
    <row r="230" spans="5:10" x14ac:dyDescent="0.2">
      <c r="E230" s="1"/>
      <c r="F230" s="1">
        <v>98</v>
      </c>
      <c r="G230" s="1" t="s">
        <v>722</v>
      </c>
      <c r="H230" s="1">
        <v>398</v>
      </c>
      <c r="I230" s="1" t="s">
        <v>447</v>
      </c>
      <c r="J230" s="1" t="s">
        <v>448</v>
      </c>
    </row>
    <row r="231" spans="5:10" x14ac:dyDescent="0.2">
      <c r="E231" s="1"/>
      <c r="F231" s="1">
        <v>99</v>
      </c>
      <c r="G231" s="1" t="s">
        <v>723</v>
      </c>
      <c r="H231" s="1">
        <v>404</v>
      </c>
      <c r="I231" s="1" t="s">
        <v>449</v>
      </c>
      <c r="J231" s="1" t="s">
        <v>450</v>
      </c>
    </row>
    <row r="232" spans="5:10" x14ac:dyDescent="0.2">
      <c r="E232" s="1"/>
      <c r="F232" s="1">
        <v>100</v>
      </c>
      <c r="G232" s="1" t="s">
        <v>724</v>
      </c>
      <c r="H232" s="1">
        <v>296</v>
      </c>
      <c r="I232" s="1" t="s">
        <v>451</v>
      </c>
      <c r="J232" s="1" t="s">
        <v>452</v>
      </c>
    </row>
    <row r="233" spans="5:10" x14ac:dyDescent="0.2">
      <c r="E233" s="1"/>
      <c r="F233" s="1">
        <v>101</v>
      </c>
      <c r="G233" s="1" t="s">
        <v>725</v>
      </c>
      <c r="H233" s="1">
        <v>414</v>
      </c>
      <c r="I233" s="1" t="s">
        <v>453</v>
      </c>
      <c r="J233" s="1" t="s">
        <v>454</v>
      </c>
    </row>
    <row r="234" spans="5:10" x14ac:dyDescent="0.2">
      <c r="E234" s="1"/>
      <c r="F234" s="1">
        <v>102</v>
      </c>
      <c r="G234" s="1" t="s">
        <v>726</v>
      </c>
      <c r="H234" s="1">
        <v>418</v>
      </c>
      <c r="I234" s="1" t="s">
        <v>455</v>
      </c>
      <c r="J234" s="1" t="s">
        <v>456</v>
      </c>
    </row>
    <row r="235" spans="5:10" x14ac:dyDescent="0.2">
      <c r="E235" s="1"/>
      <c r="F235" s="1">
        <v>103</v>
      </c>
      <c r="G235" s="1" t="s">
        <v>727</v>
      </c>
      <c r="H235" s="1">
        <v>428</v>
      </c>
      <c r="I235" s="1" t="s">
        <v>457</v>
      </c>
      <c r="J235" s="1" t="s">
        <v>458</v>
      </c>
    </row>
    <row r="236" spans="5:10" x14ac:dyDescent="0.2">
      <c r="E236" s="1"/>
      <c r="F236" s="1">
        <v>104</v>
      </c>
      <c r="G236" s="1" t="s">
        <v>728</v>
      </c>
      <c r="H236" s="1">
        <v>422</v>
      </c>
      <c r="I236" s="1" t="s">
        <v>459</v>
      </c>
      <c r="J236" s="1" t="s">
        <v>460</v>
      </c>
    </row>
    <row r="237" spans="5:10" x14ac:dyDescent="0.2">
      <c r="E237" s="1"/>
      <c r="F237" s="1">
        <v>105</v>
      </c>
      <c r="G237" s="1" t="s">
        <v>729</v>
      </c>
      <c r="H237" s="1">
        <v>430</v>
      </c>
      <c r="I237" s="1" t="s">
        <v>461</v>
      </c>
      <c r="J237" s="1" t="s">
        <v>462</v>
      </c>
    </row>
    <row r="238" spans="5:10" x14ac:dyDescent="0.2">
      <c r="E238" s="1"/>
      <c r="F238" s="1">
        <v>106</v>
      </c>
      <c r="G238" s="1" t="s">
        <v>730</v>
      </c>
      <c r="H238" s="1">
        <v>434</v>
      </c>
      <c r="I238" s="1" t="s">
        <v>463</v>
      </c>
      <c r="J238" s="1" t="s">
        <v>464</v>
      </c>
    </row>
    <row r="239" spans="5:10" x14ac:dyDescent="0.2">
      <c r="E239" s="1"/>
      <c r="F239" s="1">
        <v>107</v>
      </c>
      <c r="G239" s="1" t="s">
        <v>731</v>
      </c>
      <c r="H239" s="1">
        <v>438</v>
      </c>
      <c r="I239" s="1" t="s">
        <v>465</v>
      </c>
      <c r="J239" s="1" t="s">
        <v>466</v>
      </c>
    </row>
    <row r="240" spans="5:10" x14ac:dyDescent="0.2">
      <c r="E240" s="1"/>
      <c r="F240" s="1">
        <v>108</v>
      </c>
      <c r="G240" s="1" t="s">
        <v>732</v>
      </c>
      <c r="H240" s="1">
        <v>440</v>
      </c>
      <c r="I240" s="1" t="s">
        <v>467</v>
      </c>
      <c r="J240" s="1" t="s">
        <v>468</v>
      </c>
    </row>
    <row r="241" spans="5:10" x14ac:dyDescent="0.2">
      <c r="E241" s="1"/>
      <c r="F241" s="1">
        <v>109</v>
      </c>
      <c r="G241" s="1" t="s">
        <v>733</v>
      </c>
      <c r="H241" s="1">
        <v>442</v>
      </c>
      <c r="I241" s="1" t="s">
        <v>469</v>
      </c>
      <c r="J241" s="1" t="s">
        <v>470</v>
      </c>
    </row>
    <row r="242" spans="5:10" x14ac:dyDescent="0.2">
      <c r="E242" s="1"/>
      <c r="F242" s="1">
        <v>110</v>
      </c>
      <c r="G242" s="1" t="s">
        <v>734</v>
      </c>
      <c r="H242" s="1">
        <v>446</v>
      </c>
      <c r="I242" s="1" t="s">
        <v>471</v>
      </c>
      <c r="J242" s="1" t="s">
        <v>472</v>
      </c>
    </row>
    <row r="243" spans="5:10" x14ac:dyDescent="0.2">
      <c r="E243" s="1"/>
      <c r="F243" s="1">
        <v>111</v>
      </c>
      <c r="G243" s="1" t="s">
        <v>735</v>
      </c>
      <c r="H243" s="1">
        <v>807</v>
      </c>
      <c r="I243" s="1" t="s">
        <v>473</v>
      </c>
      <c r="J243" s="1" t="s">
        <v>474</v>
      </c>
    </row>
    <row r="244" spans="5:10" x14ac:dyDescent="0.2">
      <c r="E244" s="1"/>
      <c r="F244" s="1">
        <v>112</v>
      </c>
      <c r="G244" s="1" t="s">
        <v>736</v>
      </c>
      <c r="H244" s="1">
        <v>450</v>
      </c>
      <c r="I244" s="1" t="s">
        <v>475</v>
      </c>
      <c r="J244" s="1" t="s">
        <v>476</v>
      </c>
    </row>
    <row r="245" spans="5:10" x14ac:dyDescent="0.2">
      <c r="E245" s="1"/>
      <c r="F245" s="1">
        <v>113</v>
      </c>
      <c r="G245" s="1" t="s">
        <v>737</v>
      </c>
      <c r="H245" s="1">
        <v>458</v>
      </c>
      <c r="I245" s="1" t="s">
        <v>477</v>
      </c>
      <c r="J245" s="1" t="s">
        <v>478</v>
      </c>
    </row>
    <row r="246" spans="5:10" x14ac:dyDescent="0.2">
      <c r="E246" s="1"/>
      <c r="F246" s="1">
        <v>114</v>
      </c>
      <c r="G246" s="1" t="s">
        <v>738</v>
      </c>
      <c r="H246" s="1">
        <v>454</v>
      </c>
      <c r="I246" s="1" t="s">
        <v>479</v>
      </c>
      <c r="J246" s="1" t="s">
        <v>480</v>
      </c>
    </row>
    <row r="247" spans="5:10" x14ac:dyDescent="0.2">
      <c r="E247" s="1"/>
      <c r="F247" s="1">
        <v>115</v>
      </c>
      <c r="G247" s="1" t="s">
        <v>739</v>
      </c>
      <c r="H247" s="1">
        <v>462</v>
      </c>
      <c r="I247" s="1" t="s">
        <v>481</v>
      </c>
      <c r="J247" s="1" t="s">
        <v>482</v>
      </c>
    </row>
    <row r="248" spans="5:10" x14ac:dyDescent="0.2">
      <c r="E248" s="1"/>
      <c r="F248" s="1">
        <v>116</v>
      </c>
      <c r="G248" s="1" t="s">
        <v>740</v>
      </c>
      <c r="H248" s="1">
        <v>466</v>
      </c>
      <c r="I248" s="1" t="s">
        <v>250</v>
      </c>
      <c r="J248" s="1" t="s">
        <v>483</v>
      </c>
    </row>
    <row r="249" spans="5:10" x14ac:dyDescent="0.2">
      <c r="E249" s="1"/>
      <c r="F249" s="1">
        <v>117</v>
      </c>
      <c r="G249" s="1" t="s">
        <v>741</v>
      </c>
      <c r="H249" s="1">
        <v>470</v>
      </c>
      <c r="I249" s="1" t="s">
        <v>484</v>
      </c>
      <c r="J249" s="1" t="s">
        <v>485</v>
      </c>
    </row>
    <row r="250" spans="5:10" x14ac:dyDescent="0.2">
      <c r="E250" s="1"/>
      <c r="F250" s="1">
        <v>118</v>
      </c>
      <c r="G250" s="1" t="s">
        <v>742</v>
      </c>
      <c r="H250" s="1">
        <v>504</v>
      </c>
      <c r="I250" s="1" t="s">
        <v>486</v>
      </c>
      <c r="J250" s="1" t="s">
        <v>487</v>
      </c>
    </row>
    <row r="251" spans="5:10" x14ac:dyDescent="0.2">
      <c r="E251" s="1"/>
      <c r="F251" s="1">
        <v>119</v>
      </c>
      <c r="G251" s="1" t="s">
        <v>743</v>
      </c>
      <c r="H251" s="1">
        <v>474</v>
      </c>
      <c r="I251" s="1" t="s">
        <v>488</v>
      </c>
      <c r="J251" s="1" t="s">
        <v>489</v>
      </c>
    </row>
    <row r="252" spans="5:10" x14ac:dyDescent="0.2">
      <c r="E252" s="1"/>
      <c r="F252" s="1">
        <v>120</v>
      </c>
      <c r="G252" s="1" t="s">
        <v>744</v>
      </c>
      <c r="H252" s="1">
        <v>480</v>
      </c>
      <c r="I252" s="1" t="s">
        <v>490</v>
      </c>
      <c r="J252" s="1" t="s">
        <v>491</v>
      </c>
    </row>
    <row r="253" spans="5:10" x14ac:dyDescent="0.2">
      <c r="E253" s="1"/>
      <c r="F253" s="1">
        <v>121</v>
      </c>
      <c r="G253" s="1" t="s">
        <v>745</v>
      </c>
      <c r="H253" s="1">
        <v>478</v>
      </c>
      <c r="I253" s="1" t="s">
        <v>492</v>
      </c>
      <c r="J253" s="1" t="s">
        <v>493</v>
      </c>
    </row>
    <row r="254" spans="5:10" x14ac:dyDescent="0.2">
      <c r="E254" s="1"/>
      <c r="F254" s="1">
        <v>122</v>
      </c>
      <c r="G254" s="1" t="s">
        <v>746</v>
      </c>
      <c r="H254" s="1">
        <v>484</v>
      </c>
      <c r="I254" s="1" t="s">
        <v>494</v>
      </c>
      <c r="J254" s="1" t="s">
        <v>495</v>
      </c>
    </row>
    <row r="255" spans="5:10" x14ac:dyDescent="0.2">
      <c r="E255" s="1"/>
      <c r="F255" s="1">
        <v>123</v>
      </c>
      <c r="G255" s="1" t="s">
        <v>747</v>
      </c>
      <c r="H255" s="1">
        <v>498</v>
      </c>
      <c r="I255" s="1" t="s">
        <v>248</v>
      </c>
      <c r="J255" s="1" t="s">
        <v>496</v>
      </c>
    </row>
    <row r="256" spans="5:10" x14ac:dyDescent="0.2">
      <c r="E256" s="1"/>
      <c r="F256" s="1">
        <v>124</v>
      </c>
      <c r="G256" s="1" t="s">
        <v>749</v>
      </c>
      <c r="H256" s="1">
        <v>492</v>
      </c>
      <c r="I256" s="1" t="s">
        <v>252</v>
      </c>
      <c r="J256" s="1" t="s">
        <v>499</v>
      </c>
    </row>
    <row r="257" spans="5:10" x14ac:dyDescent="0.2">
      <c r="E257" s="1"/>
      <c r="F257" s="1">
        <v>125</v>
      </c>
      <c r="G257" s="1" t="s">
        <v>748</v>
      </c>
      <c r="H257" s="1">
        <v>496</v>
      </c>
      <c r="I257" s="1" t="s">
        <v>497</v>
      </c>
      <c r="J257" s="1" t="s">
        <v>498</v>
      </c>
    </row>
    <row r="258" spans="5:10" x14ac:dyDescent="0.2">
      <c r="E258" s="1"/>
      <c r="F258" s="1">
        <v>126</v>
      </c>
      <c r="G258" s="1" t="s">
        <v>750</v>
      </c>
      <c r="H258" s="1">
        <v>500</v>
      </c>
      <c r="I258" s="1" t="s">
        <v>500</v>
      </c>
      <c r="J258" s="1" t="s">
        <v>501</v>
      </c>
    </row>
    <row r="259" spans="5:10" x14ac:dyDescent="0.2">
      <c r="E259" s="1"/>
      <c r="F259" s="1">
        <v>127</v>
      </c>
      <c r="G259" s="1" t="s">
        <v>751</v>
      </c>
      <c r="H259" s="1">
        <v>508</v>
      </c>
      <c r="I259" s="1" t="s">
        <v>502</v>
      </c>
      <c r="J259" s="1" t="s">
        <v>503</v>
      </c>
    </row>
    <row r="260" spans="5:10" x14ac:dyDescent="0.2">
      <c r="E260" s="1"/>
      <c r="F260" s="1">
        <v>128</v>
      </c>
      <c r="G260" s="1" t="s">
        <v>652</v>
      </c>
      <c r="H260" s="1">
        <v>104</v>
      </c>
      <c r="I260" s="1" t="s">
        <v>309</v>
      </c>
      <c r="J260" s="1" t="s">
        <v>310</v>
      </c>
    </row>
    <row r="261" spans="5:10" x14ac:dyDescent="0.2">
      <c r="E261" s="1"/>
      <c r="F261" s="1">
        <v>129</v>
      </c>
      <c r="G261" s="1" t="s">
        <v>752</v>
      </c>
      <c r="H261" s="1">
        <v>516</v>
      </c>
      <c r="I261" s="1" t="s">
        <v>504</v>
      </c>
      <c r="J261" s="1" t="s">
        <v>505</v>
      </c>
    </row>
    <row r="262" spans="5:10" x14ac:dyDescent="0.2">
      <c r="E262" s="1"/>
      <c r="F262" s="1">
        <v>130</v>
      </c>
      <c r="G262" s="1" t="s">
        <v>753</v>
      </c>
      <c r="H262" s="1">
        <v>524</v>
      </c>
      <c r="I262" s="1" t="s">
        <v>506</v>
      </c>
      <c r="J262" s="1" t="s">
        <v>507</v>
      </c>
    </row>
    <row r="263" spans="5:10" x14ac:dyDescent="0.2">
      <c r="E263" s="1"/>
      <c r="F263" s="1">
        <v>131</v>
      </c>
      <c r="G263" s="1" t="s">
        <v>754</v>
      </c>
      <c r="H263" s="1">
        <v>558</v>
      </c>
      <c r="I263" s="1" t="s">
        <v>508</v>
      </c>
      <c r="J263" s="1" t="s">
        <v>509</v>
      </c>
    </row>
    <row r="264" spans="5:10" x14ac:dyDescent="0.2">
      <c r="E264" s="1"/>
      <c r="F264" s="1">
        <v>132</v>
      </c>
      <c r="G264" s="1" t="s">
        <v>755</v>
      </c>
      <c r="H264" s="1">
        <v>562</v>
      </c>
      <c r="I264" s="1" t="s">
        <v>510</v>
      </c>
      <c r="J264" s="1" t="s">
        <v>511</v>
      </c>
    </row>
    <row r="265" spans="5:10" x14ac:dyDescent="0.2">
      <c r="E265" s="1"/>
      <c r="F265" s="1">
        <v>133</v>
      </c>
      <c r="G265" s="1" t="s">
        <v>756</v>
      </c>
      <c r="H265" s="1">
        <v>566</v>
      </c>
      <c r="I265" s="1" t="s">
        <v>512</v>
      </c>
      <c r="J265" s="1" t="s">
        <v>513</v>
      </c>
    </row>
    <row r="266" spans="5:10" x14ac:dyDescent="0.2">
      <c r="E266" s="1"/>
      <c r="F266" s="1">
        <v>134</v>
      </c>
      <c r="G266" s="1" t="s">
        <v>757</v>
      </c>
      <c r="H266" s="1">
        <v>578</v>
      </c>
      <c r="I266" s="1" t="s">
        <v>514</v>
      </c>
      <c r="J266" s="1" t="s">
        <v>515</v>
      </c>
    </row>
    <row r="267" spans="5:10" x14ac:dyDescent="0.2">
      <c r="E267" s="1"/>
      <c r="F267" s="1">
        <v>135</v>
      </c>
      <c r="G267" s="1" t="s">
        <v>758</v>
      </c>
      <c r="H267" s="1">
        <v>554</v>
      </c>
      <c r="I267" s="1" t="s">
        <v>516</v>
      </c>
      <c r="J267" s="1" t="s">
        <v>517</v>
      </c>
    </row>
    <row r="268" spans="5:10" x14ac:dyDescent="0.2">
      <c r="E268" s="1"/>
      <c r="F268" s="1">
        <v>136</v>
      </c>
      <c r="G268" s="1" t="s">
        <v>759</v>
      </c>
      <c r="H268" s="1">
        <v>512</v>
      </c>
      <c r="I268" s="1" t="s">
        <v>518</v>
      </c>
      <c r="J268" s="1" t="s">
        <v>519</v>
      </c>
    </row>
    <row r="269" spans="5:10" x14ac:dyDescent="0.2">
      <c r="E269" s="1"/>
      <c r="F269" s="1">
        <v>137</v>
      </c>
      <c r="G269" s="1" t="s">
        <v>760</v>
      </c>
      <c r="H269" s="1">
        <v>528</v>
      </c>
      <c r="I269" s="1" t="s">
        <v>520</v>
      </c>
      <c r="J269" s="1" t="s">
        <v>521</v>
      </c>
    </row>
    <row r="270" spans="5:10" x14ac:dyDescent="0.2">
      <c r="E270" s="1"/>
      <c r="F270" s="1">
        <v>138</v>
      </c>
      <c r="G270" s="1" t="s">
        <v>761</v>
      </c>
      <c r="H270" s="1">
        <v>586</v>
      </c>
      <c r="I270" s="1" t="s">
        <v>522</v>
      </c>
      <c r="J270" s="1" t="s">
        <v>523</v>
      </c>
    </row>
    <row r="271" spans="5:10" x14ac:dyDescent="0.2">
      <c r="E271" s="1"/>
      <c r="F271" s="1">
        <v>139</v>
      </c>
      <c r="G271" s="1" t="s">
        <v>762</v>
      </c>
      <c r="H271" s="1">
        <v>275</v>
      </c>
      <c r="I271" s="1" t="s">
        <v>524</v>
      </c>
      <c r="J271" s="1" t="s">
        <v>525</v>
      </c>
    </row>
    <row r="272" spans="5:10" x14ac:dyDescent="0.2">
      <c r="E272" s="1"/>
      <c r="F272" s="1">
        <v>140</v>
      </c>
      <c r="G272" s="1" t="s">
        <v>763</v>
      </c>
      <c r="H272" s="1">
        <v>591</v>
      </c>
      <c r="I272" s="1" t="s">
        <v>526</v>
      </c>
      <c r="J272" s="1" t="s">
        <v>527</v>
      </c>
    </row>
    <row r="273" spans="5:10" x14ac:dyDescent="0.2">
      <c r="E273" s="1"/>
      <c r="F273" s="1">
        <v>141</v>
      </c>
      <c r="G273" s="1" t="s">
        <v>764</v>
      </c>
      <c r="H273" s="1">
        <v>600</v>
      </c>
      <c r="I273" s="1" t="s">
        <v>528</v>
      </c>
      <c r="J273" s="1" t="s">
        <v>529</v>
      </c>
    </row>
    <row r="274" spans="5:10" x14ac:dyDescent="0.2">
      <c r="E274" s="1"/>
      <c r="F274" s="1">
        <v>142</v>
      </c>
      <c r="G274" s="1" t="s">
        <v>765</v>
      </c>
      <c r="H274" s="1">
        <v>604</v>
      </c>
      <c r="I274" s="1" t="s">
        <v>530</v>
      </c>
      <c r="J274" s="1" t="s">
        <v>531</v>
      </c>
    </row>
    <row r="275" spans="5:10" x14ac:dyDescent="0.2">
      <c r="E275" s="1"/>
      <c r="F275" s="1">
        <v>143</v>
      </c>
      <c r="G275" s="1" t="s">
        <v>766</v>
      </c>
      <c r="H275" s="1">
        <v>616</v>
      </c>
      <c r="I275" s="1" t="s">
        <v>532</v>
      </c>
      <c r="J275" s="1" t="s">
        <v>533</v>
      </c>
    </row>
    <row r="276" spans="5:10" x14ac:dyDescent="0.2">
      <c r="E276" s="1"/>
      <c r="F276" s="1">
        <v>144</v>
      </c>
      <c r="G276" s="1" t="s">
        <v>767</v>
      </c>
      <c r="H276" s="1">
        <v>620</v>
      </c>
      <c r="I276" s="1" t="s">
        <v>534</v>
      </c>
      <c r="J276" s="1" t="s">
        <v>535</v>
      </c>
    </row>
    <row r="277" spans="5:10" x14ac:dyDescent="0.2">
      <c r="E277" s="1"/>
      <c r="F277" s="1">
        <v>145</v>
      </c>
      <c r="G277" s="1" t="s">
        <v>768</v>
      </c>
      <c r="H277" s="1">
        <v>630</v>
      </c>
      <c r="I277" s="1" t="s">
        <v>536</v>
      </c>
      <c r="J277" s="1" t="s">
        <v>537</v>
      </c>
    </row>
    <row r="278" spans="5:10" x14ac:dyDescent="0.2">
      <c r="E278" s="1"/>
      <c r="F278" s="1">
        <v>146</v>
      </c>
      <c r="G278" s="1" t="s">
        <v>769</v>
      </c>
      <c r="H278" s="1">
        <v>634</v>
      </c>
      <c r="I278" s="1" t="s">
        <v>538</v>
      </c>
      <c r="J278" s="1" t="s">
        <v>539</v>
      </c>
    </row>
    <row r="279" spans="5:10" x14ac:dyDescent="0.2">
      <c r="E279" s="1"/>
      <c r="F279" s="1">
        <v>147</v>
      </c>
      <c r="G279" s="1" t="s">
        <v>770</v>
      </c>
      <c r="H279" s="1">
        <v>826</v>
      </c>
      <c r="I279" s="1" t="s">
        <v>540</v>
      </c>
      <c r="J279" s="1" t="s">
        <v>541</v>
      </c>
    </row>
    <row r="280" spans="5:10" x14ac:dyDescent="0.2">
      <c r="E280" s="1"/>
      <c r="F280" s="1">
        <v>148</v>
      </c>
      <c r="G280" s="1" t="s">
        <v>771</v>
      </c>
      <c r="H280" s="1">
        <v>140</v>
      </c>
      <c r="I280" s="1" t="s">
        <v>542</v>
      </c>
      <c r="J280" s="1" t="s">
        <v>543</v>
      </c>
    </row>
    <row r="281" spans="5:10" x14ac:dyDescent="0.2">
      <c r="E281" s="1"/>
      <c r="F281" s="1">
        <v>149</v>
      </c>
      <c r="G281" s="1" t="s">
        <v>772</v>
      </c>
      <c r="H281" s="1">
        <v>203</v>
      </c>
      <c r="I281" s="1" t="s">
        <v>544</v>
      </c>
      <c r="J281" s="1" t="s">
        <v>545</v>
      </c>
    </row>
    <row r="282" spans="5:10" x14ac:dyDescent="0.2">
      <c r="E282" s="1"/>
      <c r="F282" s="1">
        <v>150</v>
      </c>
      <c r="G282" s="1" t="s">
        <v>773</v>
      </c>
      <c r="H282" s="1">
        <v>214</v>
      </c>
      <c r="I282" s="1" t="s">
        <v>546</v>
      </c>
      <c r="J282" s="1" t="s">
        <v>547</v>
      </c>
    </row>
    <row r="283" spans="5:10" x14ac:dyDescent="0.2">
      <c r="E283" s="1"/>
      <c r="F283" s="1">
        <v>151</v>
      </c>
      <c r="G283" s="1" t="s">
        <v>774</v>
      </c>
      <c r="H283" s="1">
        <v>638</v>
      </c>
      <c r="I283" s="1" t="s">
        <v>548</v>
      </c>
      <c r="J283" s="1" t="s">
        <v>549</v>
      </c>
    </row>
    <row r="284" spans="5:10" x14ac:dyDescent="0.2">
      <c r="E284" s="1"/>
      <c r="F284" s="1">
        <v>152</v>
      </c>
      <c r="G284" s="1" t="s">
        <v>777</v>
      </c>
      <c r="H284" s="1">
        <v>646</v>
      </c>
      <c r="I284" s="1" t="s">
        <v>554</v>
      </c>
      <c r="J284" s="1" t="s">
        <v>555</v>
      </c>
    </row>
    <row r="285" spans="5:10" x14ac:dyDescent="0.2">
      <c r="E285" s="1"/>
      <c r="F285" s="1">
        <v>153</v>
      </c>
      <c r="G285" s="1" t="s">
        <v>776</v>
      </c>
      <c r="H285" s="1">
        <v>642</v>
      </c>
      <c r="I285" s="1" t="s">
        <v>552</v>
      </c>
      <c r="J285" s="1" t="s">
        <v>553</v>
      </c>
    </row>
    <row r="286" spans="5:10" x14ac:dyDescent="0.2">
      <c r="E286" s="1"/>
      <c r="F286" s="1">
        <v>154</v>
      </c>
      <c r="G286" s="1" t="s">
        <v>778</v>
      </c>
      <c r="H286" s="1">
        <v>643</v>
      </c>
      <c r="I286" s="1" t="s">
        <v>556</v>
      </c>
      <c r="J286" s="1" t="s">
        <v>557</v>
      </c>
    </row>
    <row r="287" spans="5:10" x14ac:dyDescent="0.2">
      <c r="E287" s="1"/>
      <c r="F287" s="1">
        <v>155</v>
      </c>
      <c r="G287" s="1" t="s">
        <v>780</v>
      </c>
      <c r="H287" s="1">
        <v>732</v>
      </c>
      <c r="I287" s="1" t="s">
        <v>560</v>
      </c>
      <c r="J287" s="1" t="s">
        <v>561</v>
      </c>
    </row>
    <row r="288" spans="5:10" x14ac:dyDescent="0.2">
      <c r="E288" s="1"/>
      <c r="F288" s="1">
        <v>156</v>
      </c>
      <c r="G288" s="1" t="s">
        <v>779</v>
      </c>
      <c r="H288" s="1">
        <v>90</v>
      </c>
      <c r="I288" s="1" t="s">
        <v>558</v>
      </c>
      <c r="J288" s="1" t="s">
        <v>559</v>
      </c>
    </row>
    <row r="289" spans="5:10" x14ac:dyDescent="0.2">
      <c r="E289" s="1"/>
      <c r="F289" s="1">
        <v>157</v>
      </c>
      <c r="G289" s="1" t="s">
        <v>781</v>
      </c>
      <c r="H289" s="1">
        <v>882</v>
      </c>
      <c r="I289" s="1" t="s">
        <v>562</v>
      </c>
      <c r="J289" s="1" t="s">
        <v>563</v>
      </c>
    </row>
    <row r="290" spans="5:10" x14ac:dyDescent="0.2">
      <c r="E290" s="1"/>
      <c r="F290" s="1">
        <v>158</v>
      </c>
      <c r="G290" s="1" t="s">
        <v>782</v>
      </c>
      <c r="H290" s="1">
        <v>674</v>
      </c>
      <c r="I290" s="1" t="s">
        <v>564</v>
      </c>
      <c r="J290" s="1" t="s">
        <v>565</v>
      </c>
    </row>
    <row r="291" spans="5:10" x14ac:dyDescent="0.2">
      <c r="E291" s="1"/>
      <c r="F291" s="1">
        <v>159</v>
      </c>
      <c r="G291" s="1" t="s">
        <v>664</v>
      </c>
      <c r="H291" s="1">
        <v>336</v>
      </c>
      <c r="I291" s="1" t="s">
        <v>332</v>
      </c>
      <c r="J291" s="1" t="s">
        <v>333</v>
      </c>
    </row>
    <row r="292" spans="5:10" x14ac:dyDescent="0.2">
      <c r="E292" s="1"/>
      <c r="F292" s="1">
        <v>160</v>
      </c>
      <c r="G292" s="1" t="s">
        <v>783</v>
      </c>
      <c r="H292" s="1">
        <v>686</v>
      </c>
      <c r="I292" s="1" t="s">
        <v>566</v>
      </c>
      <c r="J292" s="1" t="s">
        <v>567</v>
      </c>
    </row>
    <row r="293" spans="5:10" x14ac:dyDescent="0.2">
      <c r="E293" s="1"/>
      <c r="F293" s="1">
        <v>161</v>
      </c>
      <c r="G293" s="1" t="s">
        <v>784</v>
      </c>
      <c r="H293" s="1">
        <v>690</v>
      </c>
      <c r="I293" s="1" t="s">
        <v>568</v>
      </c>
      <c r="J293" s="1" t="s">
        <v>569</v>
      </c>
    </row>
    <row r="294" spans="5:10" x14ac:dyDescent="0.2">
      <c r="E294" s="1"/>
      <c r="F294" s="1">
        <v>162</v>
      </c>
      <c r="G294" s="1" t="s">
        <v>785</v>
      </c>
      <c r="H294" s="1">
        <v>694</v>
      </c>
      <c r="I294" s="1" t="s">
        <v>570</v>
      </c>
      <c r="J294" s="1" t="s">
        <v>571</v>
      </c>
    </row>
    <row r="295" spans="5:10" x14ac:dyDescent="0.2">
      <c r="E295" s="1"/>
      <c r="F295" s="1">
        <v>163</v>
      </c>
      <c r="G295" s="1" t="s">
        <v>786</v>
      </c>
      <c r="H295" s="1">
        <v>702</v>
      </c>
      <c r="I295" s="1" t="s">
        <v>572</v>
      </c>
      <c r="J295" s="1" t="s">
        <v>573</v>
      </c>
    </row>
    <row r="296" spans="5:10" x14ac:dyDescent="0.2">
      <c r="E296" s="1"/>
      <c r="F296" s="1">
        <v>164</v>
      </c>
      <c r="G296" s="1" t="s">
        <v>787</v>
      </c>
      <c r="H296" s="1">
        <v>760</v>
      </c>
      <c r="I296" s="1" t="s">
        <v>574</v>
      </c>
      <c r="J296" s="1" t="s">
        <v>575</v>
      </c>
    </row>
    <row r="297" spans="5:10" x14ac:dyDescent="0.2">
      <c r="E297" s="1"/>
      <c r="F297" s="1">
        <v>165</v>
      </c>
      <c r="G297" s="1" t="s">
        <v>788</v>
      </c>
      <c r="H297" s="1">
        <v>706</v>
      </c>
      <c r="I297" s="1" t="s">
        <v>576</v>
      </c>
      <c r="J297" s="1" t="s">
        <v>577</v>
      </c>
    </row>
    <row r="298" spans="5:10" x14ac:dyDescent="0.2">
      <c r="E298" s="1"/>
      <c r="F298" s="1">
        <v>166</v>
      </c>
      <c r="G298" s="1" t="s">
        <v>789</v>
      </c>
      <c r="H298" s="1">
        <v>144</v>
      </c>
      <c r="I298" s="1" t="s">
        <v>578</v>
      </c>
      <c r="J298" s="1" t="s">
        <v>579</v>
      </c>
    </row>
    <row r="299" spans="5:10" x14ac:dyDescent="0.2">
      <c r="E299" s="1"/>
      <c r="F299" s="1">
        <v>167</v>
      </c>
      <c r="G299" s="1" t="s">
        <v>790</v>
      </c>
      <c r="H299" s="1">
        <v>710</v>
      </c>
      <c r="I299" s="1" t="s">
        <v>580</v>
      </c>
      <c r="J299" s="1" t="s">
        <v>581</v>
      </c>
    </row>
    <row r="300" spans="5:10" x14ac:dyDescent="0.2">
      <c r="E300" s="1"/>
      <c r="F300" s="1">
        <v>168</v>
      </c>
      <c r="G300" s="1" t="s">
        <v>791</v>
      </c>
      <c r="H300" s="1">
        <v>736</v>
      </c>
      <c r="I300" s="1" t="s">
        <v>582</v>
      </c>
      <c r="J300" s="1" t="s">
        <v>583</v>
      </c>
    </row>
    <row r="301" spans="5:10" x14ac:dyDescent="0.2">
      <c r="E301" s="1"/>
      <c r="F301" s="1">
        <v>169</v>
      </c>
      <c r="G301" s="1" t="s">
        <v>792</v>
      </c>
      <c r="H301" s="1">
        <v>752</v>
      </c>
      <c r="I301" s="1" t="s">
        <v>584</v>
      </c>
      <c r="J301" s="1" t="s">
        <v>585</v>
      </c>
    </row>
    <row r="302" spans="5:10" x14ac:dyDescent="0.2">
      <c r="E302" s="1"/>
      <c r="F302" s="1">
        <v>170</v>
      </c>
      <c r="G302" s="1" t="s">
        <v>793</v>
      </c>
      <c r="H302" s="1">
        <v>756</v>
      </c>
      <c r="I302" s="1" t="s">
        <v>586</v>
      </c>
      <c r="J302" s="1" t="s">
        <v>587</v>
      </c>
    </row>
    <row r="303" spans="5:10" x14ac:dyDescent="0.2">
      <c r="E303" s="1"/>
      <c r="F303" s="1">
        <v>171</v>
      </c>
      <c r="G303" s="1" t="s">
        <v>794</v>
      </c>
      <c r="H303" s="1">
        <v>764</v>
      </c>
      <c r="I303" s="1" t="s">
        <v>588</v>
      </c>
      <c r="J303" s="1" t="s">
        <v>589</v>
      </c>
    </row>
    <row r="304" spans="5:10" x14ac:dyDescent="0.2">
      <c r="E304" s="1"/>
      <c r="F304" s="1">
        <v>172</v>
      </c>
      <c r="G304" s="1" t="s">
        <v>677</v>
      </c>
      <c r="H304" s="1">
        <v>158</v>
      </c>
      <c r="I304" s="1" t="s">
        <v>356</v>
      </c>
      <c r="J304" s="1" t="s">
        <v>357</v>
      </c>
    </row>
    <row r="305" spans="5:10" x14ac:dyDescent="0.2">
      <c r="E305" s="1"/>
      <c r="F305" s="1">
        <v>173</v>
      </c>
      <c r="G305" s="1" t="s">
        <v>795</v>
      </c>
      <c r="H305" s="1">
        <v>834</v>
      </c>
      <c r="I305" s="1" t="s">
        <v>590</v>
      </c>
      <c r="J305" s="1" t="s">
        <v>591</v>
      </c>
    </row>
    <row r="306" spans="5:10" x14ac:dyDescent="0.2">
      <c r="E306" s="1"/>
      <c r="F306" s="1">
        <v>174</v>
      </c>
      <c r="G306" s="1" t="s">
        <v>796</v>
      </c>
      <c r="H306" s="1">
        <v>768</v>
      </c>
      <c r="I306" s="1" t="s">
        <v>592</v>
      </c>
      <c r="J306" s="1" t="s">
        <v>593</v>
      </c>
    </row>
    <row r="307" spans="5:10" x14ac:dyDescent="0.2">
      <c r="E307" s="1"/>
      <c r="F307" s="1">
        <v>175</v>
      </c>
      <c r="G307" s="1" t="s">
        <v>797</v>
      </c>
      <c r="H307" s="1">
        <v>780</v>
      </c>
      <c r="I307" s="1" t="s">
        <v>594</v>
      </c>
      <c r="J307" s="1" t="s">
        <v>595</v>
      </c>
    </row>
    <row r="308" spans="5:10" x14ac:dyDescent="0.2">
      <c r="E308" s="1"/>
      <c r="F308" s="1">
        <v>176</v>
      </c>
      <c r="G308" s="1" t="s">
        <v>798</v>
      </c>
      <c r="H308" s="1">
        <v>788</v>
      </c>
      <c r="I308" s="1" t="s">
        <v>596</v>
      </c>
      <c r="J308" s="1" t="s">
        <v>597</v>
      </c>
    </row>
    <row r="309" spans="5:10" x14ac:dyDescent="0.2">
      <c r="E309" s="1"/>
      <c r="F309" s="1">
        <v>177</v>
      </c>
      <c r="G309" s="1" t="s">
        <v>799</v>
      </c>
      <c r="H309" s="1">
        <v>792</v>
      </c>
      <c r="I309" s="1" t="s">
        <v>598</v>
      </c>
      <c r="J309" s="1" t="s">
        <v>599</v>
      </c>
    </row>
    <row r="310" spans="5:10" x14ac:dyDescent="0.2">
      <c r="E310" s="1"/>
      <c r="F310" s="1">
        <v>178</v>
      </c>
      <c r="G310" s="1" t="s">
        <v>800</v>
      </c>
      <c r="H310" s="1">
        <v>804</v>
      </c>
      <c r="I310" s="1" t="s">
        <v>600</v>
      </c>
      <c r="J310" s="1" t="s">
        <v>601</v>
      </c>
    </row>
    <row r="311" spans="5:10" x14ac:dyDescent="0.2">
      <c r="E311" s="1"/>
      <c r="F311" s="1">
        <v>179</v>
      </c>
      <c r="G311" s="1" t="s">
        <v>801</v>
      </c>
      <c r="H311" s="1">
        <v>800</v>
      </c>
      <c r="I311" s="1" t="s">
        <v>602</v>
      </c>
      <c r="J311" s="1" t="s">
        <v>603</v>
      </c>
    </row>
    <row r="312" spans="5:10" x14ac:dyDescent="0.2">
      <c r="E312" s="1"/>
      <c r="F312" s="1">
        <v>180</v>
      </c>
      <c r="G312" s="1" t="s">
        <v>802</v>
      </c>
      <c r="H312" s="1">
        <v>858</v>
      </c>
      <c r="I312" s="1" t="s">
        <v>604</v>
      </c>
      <c r="J312" s="1" t="s">
        <v>605</v>
      </c>
    </row>
    <row r="313" spans="5:10" x14ac:dyDescent="0.2">
      <c r="E313" s="1"/>
      <c r="F313" s="1">
        <v>181</v>
      </c>
      <c r="G313" s="1" t="s">
        <v>803</v>
      </c>
      <c r="H313" s="1">
        <v>860</v>
      </c>
      <c r="I313" s="1" t="s">
        <v>606</v>
      </c>
      <c r="J313" s="1" t="s">
        <v>607</v>
      </c>
    </row>
    <row r="314" spans="5:10" x14ac:dyDescent="0.2">
      <c r="E314" s="1"/>
      <c r="F314" s="1">
        <v>182</v>
      </c>
      <c r="G314" s="1" t="s">
        <v>804</v>
      </c>
      <c r="H314" s="1">
        <v>862</v>
      </c>
      <c r="I314" s="1" t="s">
        <v>608</v>
      </c>
      <c r="J314" s="1" t="s">
        <v>609</v>
      </c>
    </row>
    <row r="315" spans="5:10" x14ac:dyDescent="0.2">
      <c r="E315" s="1"/>
      <c r="F315" s="1">
        <v>183</v>
      </c>
      <c r="G315" s="1" t="s">
        <v>805</v>
      </c>
      <c r="H315" s="1">
        <v>704</v>
      </c>
      <c r="I315" s="1" t="s">
        <v>610</v>
      </c>
      <c r="J315" s="1" t="s">
        <v>611</v>
      </c>
    </row>
    <row r="316" spans="5:10" x14ac:dyDescent="0.2">
      <c r="E316" s="1"/>
      <c r="F316" s="1">
        <v>184</v>
      </c>
      <c r="G316" s="1" t="s">
        <v>807</v>
      </c>
      <c r="H316" s="1">
        <v>887</v>
      </c>
      <c r="I316" s="1" t="s">
        <v>614</v>
      </c>
      <c r="J316" s="1" t="s">
        <v>615</v>
      </c>
    </row>
    <row r="317" spans="5:10" x14ac:dyDescent="0.2">
      <c r="E317" s="1"/>
      <c r="F317" s="1">
        <v>185</v>
      </c>
      <c r="G317" s="1" t="s">
        <v>808</v>
      </c>
      <c r="H317" s="1">
        <v>891</v>
      </c>
      <c r="I317" s="1" t="s">
        <v>616</v>
      </c>
      <c r="J317" s="1" t="s">
        <v>617</v>
      </c>
    </row>
    <row r="318" spans="5:10" x14ac:dyDescent="0.2">
      <c r="E318" s="1"/>
      <c r="F318" s="1">
        <v>186</v>
      </c>
      <c r="G318" s="1" t="s">
        <v>809</v>
      </c>
      <c r="H318" s="1">
        <v>894</v>
      </c>
      <c r="I318" s="1" t="s">
        <v>620</v>
      </c>
      <c r="J318" s="1" t="s">
        <v>621</v>
      </c>
    </row>
    <row r="319" spans="5:10" x14ac:dyDescent="0.2">
      <c r="E319" s="1"/>
      <c r="F319" s="1">
        <v>187</v>
      </c>
      <c r="G319" s="1" t="s">
        <v>775</v>
      </c>
      <c r="H319" s="1">
        <v>716</v>
      </c>
      <c r="I319" s="1" t="s">
        <v>550</v>
      </c>
      <c r="J319" s="1" t="s">
        <v>551</v>
      </c>
    </row>
    <row r="320" spans="5:10" x14ac:dyDescent="0.2">
      <c r="E320" s="1"/>
      <c r="F320" s="1">
        <v>188</v>
      </c>
      <c r="G320" s="1" t="s">
        <v>810</v>
      </c>
      <c r="H320" s="1">
        <v>898</v>
      </c>
      <c r="I320" s="1" t="s">
        <v>134</v>
      </c>
      <c r="J320" s="1" t="s">
        <v>134</v>
      </c>
    </row>
    <row r="323" spans="6:8" x14ac:dyDescent="0.2">
      <c r="F323" s="1" t="s">
        <v>60</v>
      </c>
      <c r="G323" s="1" t="s">
        <v>60</v>
      </c>
    </row>
    <row r="324" spans="6:8" x14ac:dyDescent="0.2">
      <c r="F324" s="191" t="s">
        <v>223</v>
      </c>
      <c r="G324" s="152" t="s">
        <v>224</v>
      </c>
      <c r="H324"/>
    </row>
    <row r="325" spans="6:8" x14ac:dyDescent="0.2">
      <c r="F325" s="191" t="s">
        <v>225</v>
      </c>
      <c r="G325" s="152" t="s">
        <v>226</v>
      </c>
      <c r="H325"/>
    </row>
    <row r="326" spans="6:8" x14ac:dyDescent="0.2">
      <c r="F326" s="191" t="s">
        <v>227</v>
      </c>
      <c r="G326" s="152" t="s">
        <v>228</v>
      </c>
      <c r="H326"/>
    </row>
    <row r="327" spans="6:8" x14ac:dyDescent="0.2">
      <c r="F327" s="191" t="s">
        <v>229</v>
      </c>
      <c r="G327" s="152" t="s">
        <v>230</v>
      </c>
      <c r="H327"/>
    </row>
    <row r="328" spans="6:8" x14ac:dyDescent="0.2">
      <c r="F328" s="191" t="s">
        <v>231</v>
      </c>
      <c r="G328" s="152" t="s">
        <v>232</v>
      </c>
      <c r="H328"/>
    </row>
    <row r="329" spans="6:8" x14ac:dyDescent="0.2">
      <c r="F329" s="191" t="s">
        <v>233</v>
      </c>
      <c r="G329" s="152" t="s">
        <v>234</v>
      </c>
      <c r="H329"/>
    </row>
    <row r="330" spans="6:8" x14ac:dyDescent="0.2">
      <c r="F330" s="191" t="s">
        <v>235</v>
      </c>
      <c r="G330" s="152" t="s">
        <v>222</v>
      </c>
      <c r="H330"/>
    </row>
    <row r="331" spans="6:8" x14ac:dyDescent="0.2">
      <c r="F331" s="191" t="s">
        <v>236</v>
      </c>
      <c r="G331" s="152" t="s">
        <v>237</v>
      </c>
      <c r="H331"/>
    </row>
    <row r="332" spans="6:8" x14ac:dyDescent="0.2">
      <c r="F332" s="191" t="s">
        <v>238</v>
      </c>
      <c r="G332" s="152" t="s">
        <v>239</v>
      </c>
      <c r="H332"/>
    </row>
    <row r="333" spans="6:8" x14ac:dyDescent="0.2">
      <c r="F333" s="191" t="s">
        <v>240</v>
      </c>
      <c r="G333" s="152" t="s">
        <v>241</v>
      </c>
      <c r="H333"/>
    </row>
    <row r="334" spans="6:8" x14ac:dyDescent="0.2">
      <c r="F334" s="191" t="s">
        <v>242</v>
      </c>
      <c r="G334" s="152" t="s">
        <v>243</v>
      </c>
      <c r="H334"/>
    </row>
    <row r="335" spans="6:8" x14ac:dyDescent="0.2">
      <c r="F335" s="191" t="s">
        <v>244</v>
      </c>
      <c r="G335" s="152" t="s">
        <v>245</v>
      </c>
      <c r="H335"/>
    </row>
    <row r="336" spans="6:8" x14ac:dyDescent="0.2">
      <c r="F336" s="191" t="s">
        <v>246</v>
      </c>
      <c r="G336" s="152" t="s">
        <v>247</v>
      </c>
      <c r="H336"/>
    </row>
    <row r="337" spans="6:8" x14ac:dyDescent="0.2">
      <c r="F337" s="191" t="s">
        <v>248</v>
      </c>
      <c r="G337" s="152" t="s">
        <v>249</v>
      </c>
      <c r="H337"/>
    </row>
    <row r="338" spans="6:8" x14ac:dyDescent="0.2">
      <c r="F338" s="191" t="s">
        <v>250</v>
      </c>
      <c r="G338" s="152" t="s">
        <v>251</v>
      </c>
      <c r="H338"/>
    </row>
    <row r="339" spans="6:8" x14ac:dyDescent="0.2">
      <c r="F339" s="191" t="s">
        <v>252</v>
      </c>
      <c r="G339" s="152" t="s">
        <v>253</v>
      </c>
      <c r="H339"/>
    </row>
    <row r="340" spans="6:8" x14ac:dyDescent="0.2">
      <c r="F340" s="191" t="s">
        <v>254</v>
      </c>
      <c r="G340" s="152" t="s">
        <v>255</v>
      </c>
      <c r="H340"/>
    </row>
    <row r="341" spans="6:8" x14ac:dyDescent="0.2">
      <c r="F341" s="191" t="s">
        <v>256</v>
      </c>
      <c r="G341" s="152" t="s">
        <v>257</v>
      </c>
      <c r="H341"/>
    </row>
    <row r="342" spans="6:8" x14ac:dyDescent="0.2">
      <c r="F342" s="191" t="s">
        <v>258</v>
      </c>
      <c r="G342" s="152" t="s">
        <v>221</v>
      </c>
      <c r="H342"/>
    </row>
    <row r="343" spans="6:8" x14ac:dyDescent="0.2">
      <c r="F343" s="192"/>
    </row>
    <row r="344" spans="6:8" x14ac:dyDescent="0.2">
      <c r="F344" s="192"/>
    </row>
    <row r="345" spans="6:8" x14ac:dyDescent="0.2">
      <c r="F345" s="192"/>
    </row>
    <row r="346" spans="6:8" x14ac:dyDescent="0.2">
      <c r="F346" s="192"/>
    </row>
    <row r="347" spans="6:8" x14ac:dyDescent="0.2">
      <c r="F347" s="192"/>
    </row>
    <row r="348" spans="6:8" x14ac:dyDescent="0.2">
      <c r="F348" s="192"/>
    </row>
    <row r="349" spans="6:8" x14ac:dyDescent="0.2">
      <c r="F349" s="192"/>
    </row>
    <row r="350" spans="6:8" x14ac:dyDescent="0.2">
      <c r="F350" s="192"/>
    </row>
    <row r="351" spans="6:8" x14ac:dyDescent="0.2">
      <c r="F351" s="192"/>
    </row>
    <row r="352" spans="6:8" x14ac:dyDescent="0.2">
      <c r="F352" s="192"/>
    </row>
    <row r="353" spans="6:6" x14ac:dyDescent="0.2">
      <c r="F353" s="192"/>
    </row>
    <row r="354" spans="6:6" x14ac:dyDescent="0.2">
      <c r="F354" s="192"/>
    </row>
    <row r="355" spans="6:6" x14ac:dyDescent="0.2">
      <c r="F355" s="192"/>
    </row>
    <row r="356" spans="6:6" x14ac:dyDescent="0.2">
      <c r="F356" s="192"/>
    </row>
    <row r="357" spans="6:6" x14ac:dyDescent="0.2">
      <c r="F357" s="192"/>
    </row>
    <row r="358" spans="6:6" x14ac:dyDescent="0.2">
      <c r="F358" s="192"/>
    </row>
    <row r="359" spans="6:6" x14ac:dyDescent="0.2">
      <c r="F359" s="192"/>
    </row>
    <row r="360" spans="6:6" x14ac:dyDescent="0.2">
      <c r="F360" s="192"/>
    </row>
    <row r="361" spans="6:6" x14ac:dyDescent="0.2">
      <c r="F361" s="192"/>
    </row>
    <row r="362" spans="6:6" x14ac:dyDescent="0.2">
      <c r="F362" s="192"/>
    </row>
    <row r="363" spans="6:6" x14ac:dyDescent="0.2">
      <c r="F363" s="192"/>
    </row>
    <row r="364" spans="6:6" x14ac:dyDescent="0.2">
      <c r="F364" s="192"/>
    </row>
    <row r="365" spans="6:6" x14ac:dyDescent="0.2">
      <c r="F365" s="192"/>
    </row>
    <row r="366" spans="6:6" x14ac:dyDescent="0.2">
      <c r="F366" s="192"/>
    </row>
    <row r="367" spans="6:6" x14ac:dyDescent="0.2">
      <c r="F367" s="192"/>
    </row>
    <row r="368" spans="6:6" x14ac:dyDescent="0.2">
      <c r="F368" s="192"/>
    </row>
    <row r="369" spans="6:6" x14ac:dyDescent="0.2">
      <c r="F369" s="192"/>
    </row>
  </sheetData>
  <sheetProtection formatCells="0" formatColumns="0" formatRows="0" insertColumns="0" insertRows="0" insertHyperlinks="0" deleteColumns="0" deleteRows="0" sort="0" autoFilter="0" pivotTables="0"/>
  <mergeCells count="13">
    <mergeCell ref="L1:M1"/>
    <mergeCell ref="F109:H109"/>
    <mergeCell ref="I109:K109"/>
    <mergeCell ref="L109:N109"/>
    <mergeCell ref="N1:O1"/>
    <mergeCell ref="A141:C141"/>
    <mergeCell ref="A1:K1"/>
    <mergeCell ref="A54:C54"/>
    <mergeCell ref="A32:C32"/>
    <mergeCell ref="A43:C43"/>
    <mergeCell ref="A76:C76"/>
    <mergeCell ref="A87:C87"/>
    <mergeCell ref="A65:C65"/>
  </mergeCells>
  <hyperlinks>
    <hyperlink ref="J7" r:id="rId1" display="rallye@rallyeaviles.es" xr:uid="{00000000-0004-0000-0200-000000000000}"/>
    <hyperlink ref="J8" r:id="rId2" display="rourense@bme.es" xr:uid="{00000000-0004-0000-0200-000001000000}"/>
  </hyperlinks>
  <pageMargins left="0.75" right="0.75" top="1" bottom="1" header="0" footer="0"/>
  <pageSetup paperSize="9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U4"/>
  <sheetViews>
    <sheetView workbookViewId="0">
      <selection activeCell="K3" sqref="K3:R4"/>
    </sheetView>
  </sheetViews>
  <sheetFormatPr baseColWidth="10" defaultRowHeight="12.75" x14ac:dyDescent="0.2"/>
  <cols>
    <col min="1" max="1" width="5.140625" customWidth="1"/>
    <col min="2" max="2" width="24.42578125" customWidth="1"/>
    <col min="3" max="3" width="18.7109375" customWidth="1"/>
    <col min="4" max="4" width="11.7109375" style="175" customWidth="1"/>
    <col min="5" max="5" width="10.28515625" customWidth="1"/>
    <col min="6" max="6" width="29.7109375" customWidth="1"/>
    <col min="7" max="7" width="18.7109375" customWidth="1"/>
    <col min="8" max="8" width="10.28515625" customWidth="1"/>
    <col min="9" max="9" width="10.42578125" customWidth="1"/>
    <col min="10" max="10" width="10.85546875" customWidth="1"/>
    <col min="11" max="11" width="25.7109375" customWidth="1"/>
    <col min="12" max="12" width="12.7109375" customWidth="1"/>
    <col min="13" max="13" width="12.140625" customWidth="1"/>
    <col min="15" max="15" width="25.7109375" customWidth="1"/>
    <col min="16" max="16" width="24.28515625" customWidth="1"/>
    <col min="17" max="17" width="13" customWidth="1"/>
    <col min="18" max="18" width="18.140625" customWidth="1"/>
  </cols>
  <sheetData>
    <row r="1" spans="1:21" ht="12.75" customHeight="1" x14ac:dyDescent="0.2">
      <c r="A1" s="619" t="s">
        <v>45</v>
      </c>
      <c r="B1" s="619" t="s">
        <v>14</v>
      </c>
      <c r="C1" s="619" t="s">
        <v>203</v>
      </c>
      <c r="D1" s="170" t="s">
        <v>204</v>
      </c>
      <c r="E1" s="619" t="s">
        <v>205</v>
      </c>
      <c r="F1" s="170" t="s">
        <v>16</v>
      </c>
      <c r="G1" s="170" t="s">
        <v>203</v>
      </c>
      <c r="H1" s="170" t="s">
        <v>206</v>
      </c>
      <c r="I1" s="170" t="s">
        <v>207</v>
      </c>
      <c r="J1" s="171" t="s">
        <v>205</v>
      </c>
      <c r="K1" s="617" t="s">
        <v>208</v>
      </c>
      <c r="L1" s="615" t="s">
        <v>216</v>
      </c>
      <c r="M1" s="615" t="s">
        <v>175</v>
      </c>
      <c r="N1" s="615" t="s">
        <v>209</v>
      </c>
      <c r="O1" s="615" t="s">
        <v>210</v>
      </c>
      <c r="P1" s="615" t="s">
        <v>211</v>
      </c>
      <c r="Q1" s="615" t="s">
        <v>212</v>
      </c>
      <c r="R1" s="615" t="s">
        <v>213</v>
      </c>
    </row>
    <row r="2" spans="1:21" x14ac:dyDescent="0.2">
      <c r="A2" s="620"/>
      <c r="B2" s="621"/>
      <c r="C2" s="622"/>
      <c r="D2" s="172" t="s">
        <v>214</v>
      </c>
      <c r="E2" s="623"/>
      <c r="F2" s="172" t="s">
        <v>18</v>
      </c>
      <c r="G2" s="172" t="s">
        <v>203</v>
      </c>
      <c r="H2" s="172" t="s">
        <v>206</v>
      </c>
      <c r="I2" s="172" t="s">
        <v>207</v>
      </c>
      <c r="J2" s="173" t="s">
        <v>205</v>
      </c>
      <c r="K2" s="618"/>
      <c r="L2" s="616"/>
      <c r="M2" s="616"/>
      <c r="N2" s="616"/>
      <c r="O2" s="616"/>
      <c r="P2" s="616"/>
      <c r="Q2" s="616"/>
      <c r="R2" s="616"/>
    </row>
    <row r="3" spans="1:21" x14ac:dyDescent="0.2">
      <c r="A3" s="625"/>
      <c r="B3" s="624" t="str">
        <f>IF(Concursante_Ape1&lt;&gt;"",PROPER(Concursante_Nombre)&amp;" "&amp;Concursante_Ape1,IF(Concursante_Colectivo&lt;&gt;"",Concursante_Colectivo,""))</f>
        <v/>
      </c>
      <c r="C3" s="626" t="str">
        <f>IF(Concursante_Pais="ESPAÑA",Concursante_Pais&amp;" / "&amp;Concursante_CCAA,Concursante_Pais)</f>
        <v xml:space="preserve">España /  </v>
      </c>
      <c r="D3" s="174" t="str">
        <f>IF(Concursante_Licencia&lt;&gt;"",UPPER(Concursante_Licencia),"")</f>
        <v/>
      </c>
      <c r="E3" s="628" t="str">
        <f>IF(Concursante_Telefono&lt;&gt;"",Concursante_Telefono,"")</f>
        <v/>
      </c>
      <c r="F3" s="176" t="str">
        <f>IF(Piloto_Nombre&lt;&gt;"",PROPER(Piloto_Nombre)&amp;" "&amp;UPPER(Piloto_Ape1)&amp;" "&amp;UPPER(Piloto_Ape2),"")</f>
        <v/>
      </c>
      <c r="G3" s="186" t="str">
        <f>IF(Piloto_Pais="ESPAÑA",Piloto_Pais&amp;" / "&amp;Piloto_CCAA,Piloto_Pais)</f>
        <v xml:space="preserve">España /  </v>
      </c>
      <c r="H3" s="174" t="str">
        <f>IF(Piloto_Licencia&lt;&gt;"",UPPER(Piloto_Licencia),"")</f>
        <v/>
      </c>
      <c r="I3" s="174" t="str">
        <f>IF(Piloto_NIF&lt;&gt;"",UPPER(Piloto_NIF),"")</f>
        <v/>
      </c>
      <c r="J3" s="174" t="str">
        <f>IF(Piloto_Telefono&lt;&gt;"",Piloto_Telefono,"")</f>
        <v/>
      </c>
      <c r="K3" s="624" t="str">
        <f>IF(Vehiculo_Marca&lt;&gt;"",UPPER(Vehiculo_Marca)&amp;" "&amp;UPPER(Vehiculo_Modelo),"")</f>
        <v/>
      </c>
      <c r="L3" s="613" t="str">
        <f>IF(Campeonato=1,IF(LEFT(Vehiculo_Categoria,9)="Categoría",RIGHT(Vehiculo_Categoria,LEN(Vehiculo_Categoria)-10),""),IF(Campeonato=2,"CAMPEONATO",IF(Campeonato=3,"COPA",IF(Campeonato=4,"TROFEO",""))))</f>
        <v/>
      </c>
      <c r="M3" s="613" t="str">
        <f>IF(Vehiculo_Cilindrada&lt;&gt;"",Vehiculo_Cilindrada&amp;" "&amp;"cc","")</f>
        <v>0 cc</v>
      </c>
      <c r="N3" s="613" t="str">
        <f>IF(Vehiculo_Matricula&lt;&gt;"",UPPER(Vehiculo_Matricula),"")</f>
        <v/>
      </c>
      <c r="O3" s="613" t="str">
        <f>IF(Vehiculo_Pasaporte&lt;&gt;"",UPPER(Vehiculo_Pasaporte),"")</f>
        <v/>
      </c>
      <c r="P3" s="613" t="str">
        <f>IF(Vehiculo_FichaHomo&lt;&gt;"",UPPER(Vehiculo_FichaHomo),"")</f>
        <v/>
      </c>
      <c r="Q3" s="612" t="str">
        <f>IF(RIGHT(Vehiculo_Tipo,1)="N","N",IF(RIGHT(Vehiculo_Tipo,1)="A","A",""))</f>
        <v/>
      </c>
      <c r="R3" s="612" t="str">
        <f>IF(L3="","",IF(L3="5-J1",IF(Shakedown=1,"SI","NO"),IF(L3="6",IF(Shakedown=1,"SI","NO"),IF(L3="7",IF(Shakedown=1,"SI","N"),""))))</f>
        <v/>
      </c>
      <c r="U3" s="204">
        <f>Legend</f>
        <v>2</v>
      </c>
    </row>
    <row r="4" spans="1:21" x14ac:dyDescent="0.2">
      <c r="A4" s="625"/>
      <c r="B4" s="624"/>
      <c r="C4" s="627"/>
      <c r="D4" s="174" t="str">
        <f>IF(Concursante_Copia&lt;&gt;"",UPPER(Concursante_Copia),"")</f>
        <v/>
      </c>
      <c r="E4" s="628"/>
      <c r="F4" s="176" t="str">
        <f>IF(Copiloto_Nombre&lt;&gt;"",PROPER(Copiloto_Nombre)&amp;" "&amp;UPPER(Copiloto_Ape1)&amp;" "&amp;UPPER(Copiloto_Ape2),"")</f>
        <v/>
      </c>
      <c r="G4" s="186" t="str">
        <f>IF(Copiloto_Pais="ESPAÑA",Copiloto_Pais&amp;" / "&amp;Copiloto_CCAA,Copiloto_Pais)</f>
        <v xml:space="preserve">España /  </v>
      </c>
      <c r="H4" s="174" t="str">
        <f>IF(Copiloto_Licencia&lt;&gt;"",UPPER(Copiloto_Licencia),"")</f>
        <v/>
      </c>
      <c r="I4" s="174" t="str">
        <f>IF(Copiloto_NIF&lt;&gt;"",UPPER(Copiloto_NIF),"")</f>
        <v/>
      </c>
      <c r="J4" s="174" t="str">
        <f>IF(Copiloto_Telefono&lt;&gt;"",Copiloto_Telefono,"")</f>
        <v/>
      </c>
      <c r="K4" s="624"/>
      <c r="L4" s="613"/>
      <c r="M4" s="614"/>
      <c r="N4" s="613"/>
      <c r="O4" s="613"/>
      <c r="P4" s="613"/>
      <c r="Q4" s="612"/>
      <c r="R4" s="612"/>
    </row>
  </sheetData>
  <mergeCells count="24">
    <mergeCell ref="L3:L4"/>
    <mergeCell ref="A3:A4"/>
    <mergeCell ref="B3:B4"/>
    <mergeCell ref="C3:C4"/>
    <mergeCell ref="E3:E4"/>
    <mergeCell ref="A1:A2"/>
    <mergeCell ref="B1:B2"/>
    <mergeCell ref="C1:C2"/>
    <mergeCell ref="E1:E2"/>
    <mergeCell ref="K3:K4"/>
    <mergeCell ref="Q1:Q2"/>
    <mergeCell ref="R1:R2"/>
    <mergeCell ref="K1:K2"/>
    <mergeCell ref="L1:L2"/>
    <mergeCell ref="M1:M2"/>
    <mergeCell ref="N1:N2"/>
    <mergeCell ref="O1:O2"/>
    <mergeCell ref="P1:P2"/>
    <mergeCell ref="Q3:Q4"/>
    <mergeCell ref="R3:R4"/>
    <mergeCell ref="M3:M4"/>
    <mergeCell ref="N3:N4"/>
    <mergeCell ref="O3:O4"/>
    <mergeCell ref="P3:P4"/>
  </mergeCell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R14"/>
  <sheetViews>
    <sheetView workbookViewId="0">
      <selection activeCell="J6" sqref="J6"/>
    </sheetView>
  </sheetViews>
  <sheetFormatPr baseColWidth="10" defaultRowHeight="12.75" x14ac:dyDescent="0.2"/>
  <cols>
    <col min="1" max="1" width="4.42578125" customWidth="1"/>
    <col min="2" max="2" width="20" bestFit="1" customWidth="1"/>
    <col min="3" max="3" width="22.140625" customWidth="1"/>
    <col min="6" max="6" width="22.28515625" customWidth="1"/>
    <col min="7" max="7" width="14.28515625" customWidth="1"/>
    <col min="11" max="11" width="22.28515625" customWidth="1"/>
    <col min="14" max="14" width="12.85546875" customWidth="1"/>
    <col min="15" max="15" width="13.7109375" customWidth="1"/>
    <col min="16" max="16" width="23.42578125" customWidth="1"/>
    <col min="17" max="17" width="20.140625" customWidth="1"/>
    <col min="18" max="18" width="16.5703125" customWidth="1"/>
  </cols>
  <sheetData>
    <row r="1" spans="1:18" x14ac:dyDescent="0.2">
      <c r="A1" s="637" t="s">
        <v>45</v>
      </c>
      <c r="B1" s="637" t="s">
        <v>14</v>
      </c>
      <c r="C1" s="637" t="s">
        <v>203</v>
      </c>
      <c r="D1" s="170" t="s">
        <v>204</v>
      </c>
      <c r="E1" s="637" t="s">
        <v>205</v>
      </c>
      <c r="F1" s="170" t="s">
        <v>16</v>
      </c>
      <c r="G1" s="170" t="s">
        <v>203</v>
      </c>
      <c r="H1" s="170" t="s">
        <v>206</v>
      </c>
      <c r="I1" s="170" t="s">
        <v>207</v>
      </c>
      <c r="J1" s="171" t="s">
        <v>205</v>
      </c>
      <c r="K1" s="617" t="s">
        <v>833</v>
      </c>
      <c r="L1" s="640" t="s">
        <v>175</v>
      </c>
      <c r="M1" s="617" t="s">
        <v>216</v>
      </c>
      <c r="N1" s="615" t="s">
        <v>834</v>
      </c>
      <c r="O1" s="640" t="s">
        <v>209</v>
      </c>
      <c r="P1" s="617" t="s">
        <v>835</v>
      </c>
      <c r="Q1" s="617" t="s">
        <v>836</v>
      </c>
      <c r="R1" s="617" t="s">
        <v>837</v>
      </c>
    </row>
    <row r="2" spans="1:18" x14ac:dyDescent="0.2">
      <c r="A2" s="638"/>
      <c r="B2" s="639"/>
      <c r="C2" s="622"/>
      <c r="D2" s="172" t="s">
        <v>214</v>
      </c>
      <c r="E2" s="623"/>
      <c r="F2" s="172" t="s">
        <v>18</v>
      </c>
      <c r="G2" s="172" t="s">
        <v>203</v>
      </c>
      <c r="H2" s="172" t="s">
        <v>206</v>
      </c>
      <c r="I2" s="172" t="s">
        <v>207</v>
      </c>
      <c r="J2" s="173" t="s">
        <v>205</v>
      </c>
      <c r="K2" s="618"/>
      <c r="L2" s="641"/>
      <c r="M2" s="618"/>
      <c r="N2" s="616"/>
      <c r="O2" s="636"/>
      <c r="P2" s="642"/>
      <c r="Q2" s="642"/>
      <c r="R2" s="636"/>
    </row>
    <row r="3" spans="1:18" x14ac:dyDescent="0.2">
      <c r="A3" s="629"/>
      <c r="B3" s="624"/>
      <c r="C3" s="630" t="s">
        <v>838</v>
      </c>
      <c r="D3" s="174"/>
      <c r="E3" s="628"/>
      <c r="F3" s="176"/>
      <c r="G3" s="240" t="s">
        <v>838</v>
      </c>
      <c r="H3" s="174"/>
      <c r="I3" s="241"/>
      <c r="J3" s="241"/>
      <c r="K3" s="624"/>
      <c r="L3" s="613"/>
      <c r="M3" s="632"/>
      <c r="N3" s="632"/>
      <c r="O3" s="614"/>
      <c r="P3" s="634"/>
      <c r="Q3" s="634"/>
      <c r="R3" s="626"/>
    </row>
    <row r="4" spans="1:18" x14ac:dyDescent="0.2">
      <c r="A4" s="629"/>
      <c r="B4" s="624"/>
      <c r="C4" s="631"/>
      <c r="D4" s="174"/>
      <c r="E4" s="628"/>
      <c r="F4" s="176"/>
      <c r="G4" s="240" t="s">
        <v>838</v>
      </c>
      <c r="H4" s="174"/>
      <c r="I4" s="241"/>
      <c r="J4" s="241"/>
      <c r="K4" s="624"/>
      <c r="L4" s="614"/>
      <c r="M4" s="633"/>
      <c r="N4" s="633"/>
      <c r="O4" s="614"/>
      <c r="P4" s="635"/>
      <c r="Q4" s="635"/>
      <c r="R4" s="627"/>
    </row>
    <row r="14" spans="1:18" x14ac:dyDescent="0.2">
      <c r="H14" s="244"/>
    </row>
  </sheetData>
  <mergeCells count="24">
    <mergeCell ref="R1:R2"/>
    <mergeCell ref="A1:A2"/>
    <mergeCell ref="B1:B2"/>
    <mergeCell ref="C1:C2"/>
    <mergeCell ref="E1:E2"/>
    <mergeCell ref="K1:K2"/>
    <mergeCell ref="L1:L2"/>
    <mergeCell ref="M1:M2"/>
    <mergeCell ref="N1:N2"/>
    <mergeCell ref="O1:O2"/>
    <mergeCell ref="P1:P2"/>
    <mergeCell ref="Q1:Q2"/>
    <mergeCell ref="R3:R4"/>
    <mergeCell ref="A3:A4"/>
    <mergeCell ref="B3:B4"/>
    <mergeCell ref="C3:C4"/>
    <mergeCell ref="E3:E4"/>
    <mergeCell ref="K3:K4"/>
    <mergeCell ref="L3:L4"/>
    <mergeCell ref="M3:M4"/>
    <mergeCell ref="N3:N4"/>
    <mergeCell ref="O3:O4"/>
    <mergeCell ref="P3:P4"/>
    <mergeCell ref="Q3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196</vt:i4>
      </vt:variant>
    </vt:vector>
  </HeadingPairs>
  <TitlesOfParts>
    <vt:vector size="201" baseType="lpstr">
      <vt:lpstr> Boletín de Inscripción </vt:lpstr>
      <vt:lpstr> Derechos de Inscripción </vt:lpstr>
      <vt:lpstr> Datos de Organizadores </vt:lpstr>
      <vt:lpstr>Exportacion</vt:lpstr>
      <vt:lpstr>Exp_Historicos</vt:lpstr>
      <vt:lpstr>Año</vt:lpstr>
      <vt:lpstr>AñoBoletin</vt:lpstr>
      <vt:lpstr>AÑOESPECIFICACIONES</vt:lpstr>
      <vt:lpstr>AñoHomologacion</vt:lpstr>
      <vt:lpstr>APE1CONCURSANTE</vt:lpstr>
      <vt:lpstr>APE1COPILOTO</vt:lpstr>
      <vt:lpstr>APE1PILOTO</vt:lpstr>
      <vt:lpstr>APE2_CONCURSANTE</vt:lpstr>
      <vt:lpstr>APE2COPILOTO</vt:lpstr>
      <vt:lpstr>APE2PILOTO</vt:lpstr>
      <vt:lpstr>AprobacionCC</vt:lpstr>
      <vt:lpstr>' Boletín de Inscripción '!Área_de_impresión</vt:lpstr>
      <vt:lpstr>Autonomico</vt:lpstr>
      <vt:lpstr>Auxiliar</vt:lpstr>
      <vt:lpstr>Blanco</vt:lpstr>
      <vt:lpstr>Campeonato</vt:lpstr>
      <vt:lpstr>Categoria</vt:lpstr>
      <vt:lpstr>CC</vt:lpstr>
      <vt:lpstr>CCAACONCURSANTE</vt:lpstr>
      <vt:lpstr>CCAACOPILOTO</vt:lpstr>
      <vt:lpstr>CCAAPILOTO</vt:lpstr>
      <vt:lpstr>Cilindrada</vt:lpstr>
      <vt:lpstr>CilindradaBoletin</vt:lpstr>
      <vt:lpstr>Clasicos</vt:lpstr>
      <vt:lpstr>Concursante_Ape1</vt:lpstr>
      <vt:lpstr>Concursante_Ape2</vt:lpstr>
      <vt:lpstr>Concursante_CCAA</vt:lpstr>
      <vt:lpstr>Concursante_Colectivo</vt:lpstr>
      <vt:lpstr>Concursante_Copia</vt:lpstr>
      <vt:lpstr>Concursante_Licencia</vt:lpstr>
      <vt:lpstr>Concursante_NIF</vt:lpstr>
      <vt:lpstr>Concursante_Nombre</vt:lpstr>
      <vt:lpstr>Concursante_Pais</vt:lpstr>
      <vt:lpstr>Concursante_Provincia</vt:lpstr>
      <vt:lpstr>Concursante_Representante</vt:lpstr>
      <vt:lpstr>Concursante_Telefono</vt:lpstr>
      <vt:lpstr>CONPUBLICIDAD</vt:lpstr>
      <vt:lpstr>COPIACONCURSANTE</vt:lpstr>
      <vt:lpstr>Copiloto_Ape1</vt:lpstr>
      <vt:lpstr>Copiloto_Ape2</vt:lpstr>
      <vt:lpstr>Copiloto_CCAA</vt:lpstr>
      <vt:lpstr>Copiloto_Licencia</vt:lpstr>
      <vt:lpstr>Copiloto_NIF</vt:lpstr>
      <vt:lpstr>Copiloto_Nombre</vt:lpstr>
      <vt:lpstr>Copiloto_Pais</vt:lpstr>
      <vt:lpstr>Copiloto_Provincia</vt:lpstr>
      <vt:lpstr>Copiloto_Telefono</vt:lpstr>
      <vt:lpstr>DENOMCONCURSANTE</vt:lpstr>
      <vt:lpstr>DniCifA1</vt:lpstr>
      <vt:lpstr>DniCifA2</vt:lpstr>
      <vt:lpstr>DniCifAux</vt:lpstr>
      <vt:lpstr>DniCifO1</vt:lpstr>
      <vt:lpstr>DniCifO2</vt:lpstr>
      <vt:lpstr>DniCifR1</vt:lpstr>
      <vt:lpstr>DniCifR2</vt:lpstr>
      <vt:lpstr>Efectivo</vt:lpstr>
      <vt:lpstr>email_competidor</vt:lpstr>
      <vt:lpstr>email_copiloto</vt:lpstr>
      <vt:lpstr>email_piloto</vt:lpstr>
      <vt:lpstr>EsError</vt:lpstr>
      <vt:lpstr>España</vt:lpstr>
      <vt:lpstr>Estado5</vt:lpstr>
      <vt:lpstr>EstadoTrofeo3</vt:lpstr>
      <vt:lpstr>EstadoTrofeo7</vt:lpstr>
      <vt:lpstr>EstadoTrofeo8</vt:lpstr>
      <vt:lpstr>FICHAHOMOLOGACION</vt:lpstr>
      <vt:lpstr>FIJOCONCURSANTE</vt:lpstr>
      <vt:lpstr>FIJOCOPILOTO</vt:lpstr>
      <vt:lpstr>FIJOPILOTO</vt:lpstr>
      <vt:lpstr>HabilitarCC</vt:lpstr>
      <vt:lpstr>HHHH</vt:lpstr>
      <vt:lpstr>Indice_CCAA_Concursante</vt:lpstr>
      <vt:lpstr>Indice_CCAA_Copiloto</vt:lpstr>
      <vt:lpstr>Indice_CCAA_Piloto</vt:lpstr>
      <vt:lpstr>Indice_Pais_Concursante</vt:lpstr>
      <vt:lpstr>Indice_Pais_Copiloto</vt:lpstr>
      <vt:lpstr>Indice_Pais_Piloto</vt:lpstr>
      <vt:lpstr>Inicio</vt:lpstr>
      <vt:lpstr>ISOCCAACONCURSANTE</vt:lpstr>
      <vt:lpstr>ISOCCAACOPILOTO</vt:lpstr>
      <vt:lpstr>ISOCCAAPILOTO</vt:lpstr>
      <vt:lpstr>ISOPAISCONCURSANTE</vt:lpstr>
      <vt:lpstr>ISOPAISCOPILOTO</vt:lpstr>
      <vt:lpstr>ISOPAISPILOTO</vt:lpstr>
      <vt:lpstr>IVA</vt:lpstr>
      <vt:lpstr>Legend</vt:lpstr>
      <vt:lpstr>LICCONCURSANTE</vt:lpstr>
      <vt:lpstr>LICCOPILOTO</vt:lpstr>
      <vt:lpstr>LicenciaA1</vt:lpstr>
      <vt:lpstr>LicenciaA2</vt:lpstr>
      <vt:lpstr>LicenciaAux</vt:lpstr>
      <vt:lpstr>LicenciaO1</vt:lpstr>
      <vt:lpstr>LicenciaO2</vt:lpstr>
      <vt:lpstr>LicenciaR1</vt:lpstr>
      <vt:lpstr>LicenciaR2</vt:lpstr>
      <vt:lpstr>LICPILOTO</vt:lpstr>
      <vt:lpstr>MARCA</vt:lpstr>
      <vt:lpstr>MarcaOuvreur</vt:lpstr>
      <vt:lpstr>MATRICULA</vt:lpstr>
      <vt:lpstr>MODELO</vt:lpstr>
      <vt:lpstr>ModeloOuvreur</vt:lpstr>
      <vt:lpstr>MOVILCONCURSANTE</vt:lpstr>
      <vt:lpstr>MOVILCOPILOTO</vt:lpstr>
      <vt:lpstr>MOVILPILOTO</vt:lpstr>
      <vt:lpstr>NIFCONCURSANTE</vt:lpstr>
      <vt:lpstr>NIFCOPILOTO</vt:lpstr>
      <vt:lpstr>NIFPILOTO</vt:lpstr>
      <vt:lpstr>NombreA1</vt:lpstr>
      <vt:lpstr>NombreA2</vt:lpstr>
      <vt:lpstr>NombreAux</vt:lpstr>
      <vt:lpstr>NombreCampeonato</vt:lpstr>
      <vt:lpstr>NombreO1</vt:lpstr>
      <vt:lpstr>NombreO2</vt:lpstr>
      <vt:lpstr>NombreR1</vt:lpstr>
      <vt:lpstr>NombreR2</vt:lpstr>
      <vt:lpstr>NOMCONCURSANTE</vt:lpstr>
      <vt:lpstr>NOMCOPILOTO</vt:lpstr>
      <vt:lpstr>NOMPILOTO</vt:lpstr>
      <vt:lpstr>NUEVOSOBLIGATORIOS</vt:lpstr>
      <vt:lpstr>Num_cuenta</vt:lpstr>
      <vt:lpstr>NumeroEntrada</vt:lpstr>
      <vt:lpstr>numk</vt:lpstr>
      <vt:lpstr>Numrallye</vt:lpstr>
      <vt:lpstr>OBLIGATORIOS</vt:lpstr>
      <vt:lpstr>Opcion</vt:lpstr>
      <vt:lpstr>Opcion2</vt:lpstr>
      <vt:lpstr>Opciones</vt:lpstr>
      <vt:lpstr>OPCIONLEGEND</vt:lpstr>
      <vt:lpstr>Ouvreur</vt:lpstr>
      <vt:lpstr>PAISCONCURSANTE</vt:lpstr>
      <vt:lpstr>PAISCOPILOTO</vt:lpstr>
      <vt:lpstr>PAISPILOTO</vt:lpstr>
      <vt:lpstr>PASAPORTE</vt:lpstr>
      <vt:lpstr>PENDIENTES</vt:lpstr>
      <vt:lpstr>Piloto_Ape1</vt:lpstr>
      <vt:lpstr>Piloto_Ape2</vt:lpstr>
      <vt:lpstr>Piloto_CCAA</vt:lpstr>
      <vt:lpstr>Piloto_Licencia</vt:lpstr>
      <vt:lpstr>Piloto_NIF</vt:lpstr>
      <vt:lpstr>Piloto_Nombre</vt:lpstr>
      <vt:lpstr>Piloto_Pais</vt:lpstr>
      <vt:lpstr>Piloto_Provincia</vt:lpstr>
      <vt:lpstr>Piloto_Telefono</vt:lpstr>
      <vt:lpstr>PrimerApellidoA1</vt:lpstr>
      <vt:lpstr>PrimerApellidoA2</vt:lpstr>
      <vt:lpstr>PrimerApellidoAux</vt:lpstr>
      <vt:lpstr>PrimerApellidoO1</vt:lpstr>
      <vt:lpstr>PrimerApellidoO2</vt:lpstr>
      <vt:lpstr>PrimerApellidoR1</vt:lpstr>
      <vt:lpstr>PrimerApellidoR2</vt:lpstr>
      <vt:lpstr>PROVINCIACONCURSANTE</vt:lpstr>
      <vt:lpstr>PROVINCIACOPILOTO</vt:lpstr>
      <vt:lpstr>PROVINCIAPILOTO</vt:lpstr>
      <vt:lpstr>Publicidad</vt:lpstr>
      <vt:lpstr>Regularidad</vt:lpstr>
      <vt:lpstr>REPRESCONCURSANTE</vt:lpstr>
      <vt:lpstr>Seleccion</vt:lpstr>
      <vt:lpstr>Shakedown</vt:lpstr>
      <vt:lpstr>SINPUBLICIDAD</vt:lpstr>
      <vt:lpstr>Tabla_Agrupaciones</vt:lpstr>
      <vt:lpstr>Tabla_Autonomias</vt:lpstr>
      <vt:lpstr>TABLA_AUTONOMIAS_coPILOTO</vt:lpstr>
      <vt:lpstr>TABLA_AUTONOMIAS_PILOTO</vt:lpstr>
      <vt:lpstr>Tabla_datos</vt:lpstr>
      <vt:lpstr>Tabla_Paises</vt:lpstr>
      <vt:lpstr>TablaCategorias</vt:lpstr>
      <vt:lpstr>TablaCategoriasRegularidad</vt:lpstr>
      <vt:lpstr>TablaRegularidad</vt:lpstr>
      <vt:lpstr>TablaVelocidad</vt:lpstr>
      <vt:lpstr>TipoVehiculo</vt:lpstr>
      <vt:lpstr>Trofeo1</vt:lpstr>
      <vt:lpstr>Trofeo10</vt:lpstr>
      <vt:lpstr>Trofeo11</vt:lpstr>
      <vt:lpstr>Trofeo12</vt:lpstr>
      <vt:lpstr>Trofeo13</vt:lpstr>
      <vt:lpstr>Trofeo2</vt:lpstr>
      <vt:lpstr>Trofeo3</vt:lpstr>
      <vt:lpstr>Trofeo4</vt:lpstr>
      <vt:lpstr>Trofeo5</vt:lpstr>
      <vt:lpstr>Trofeo6</vt:lpstr>
      <vt:lpstr>Trofeo7</vt:lpstr>
      <vt:lpstr>Trofeo8</vt:lpstr>
      <vt:lpstr>Trofeo9</vt:lpstr>
      <vt:lpstr>Turbo</vt:lpstr>
      <vt:lpstr>Turbo_correcto</vt:lpstr>
      <vt:lpstr>Validacion</vt:lpstr>
      <vt:lpstr>Valpubli</vt:lpstr>
      <vt:lpstr>Vehiculo_Categoria</vt:lpstr>
      <vt:lpstr>Vehiculo_Cilindrada</vt:lpstr>
      <vt:lpstr>Vehiculo_FichaHomo</vt:lpstr>
      <vt:lpstr>Vehiculo_Marca</vt:lpstr>
      <vt:lpstr>Vehiculo_Matricula</vt:lpstr>
      <vt:lpstr>Vehiculo_Modelo</vt:lpstr>
      <vt:lpstr>Vehiculo_Pasaporte</vt:lpstr>
      <vt:lpstr>Vehiculo_Tipo</vt:lpstr>
      <vt:lpstr>Velocidad_Legend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RALLYCAR</cp:lastModifiedBy>
  <cp:lastPrinted>2017-04-03T19:38:54Z</cp:lastPrinted>
  <dcterms:created xsi:type="dcterms:W3CDTF">2006-10-27T17:07:54Z</dcterms:created>
  <dcterms:modified xsi:type="dcterms:W3CDTF">2017-09-20T21:02:38Z</dcterms:modified>
</cp:coreProperties>
</file>